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hudson\Documents\"/>
    </mc:Choice>
  </mc:AlternateContent>
  <xr:revisionPtr revIDLastSave="0" documentId="8_{B7F22BF8-991C-45E3-B167-81DB01BE224C}" xr6:coauthVersionLast="45" xr6:coauthVersionMax="45" xr10:uidLastSave="{00000000-0000-0000-0000-000000000000}"/>
  <bookViews>
    <workbookView xWindow="-120" yWindow="480" windowWidth="21840" windowHeight="13140" xr2:uid="{BCE68B46-EE1B-4B6A-BE4C-6956875A099C}"/>
  </bookViews>
  <sheets>
    <sheet name="2% Raise" sheetId="1" r:id="rId1"/>
    <sheet name="4% Raise" sheetId="2" r:id="rId2"/>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Titles" localSheetId="0">'2% Raise'!$A:$G,'2% Raise'!$1:$2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12" i="1" l="1"/>
  <c r="W110" i="1"/>
  <c r="W109" i="1"/>
  <c r="W253" i="1"/>
  <c r="AA341" i="2"/>
  <c r="Y341" i="2"/>
  <c r="W341" i="2"/>
  <c r="S341" i="2"/>
  <c r="Q341" i="2"/>
  <c r="O341" i="2"/>
  <c r="AE340" i="2"/>
  <c r="AD340" i="2"/>
  <c r="AL340" i="2" s="1"/>
  <c r="AC340" i="2"/>
  <c r="AK340" i="2" s="1"/>
  <c r="AM339" i="2"/>
  <c r="AK339" i="2"/>
  <c r="AI339" i="2"/>
  <c r="AE339" i="2"/>
  <c r="AD339" i="2"/>
  <c r="AL339" i="2" s="1"/>
  <c r="AC339" i="2"/>
  <c r="AG339" i="2" s="1"/>
  <c r="AM338" i="2"/>
  <c r="AL338" i="2"/>
  <c r="AK338" i="2"/>
  <c r="AG338" i="2"/>
  <c r="AE338" i="2"/>
  <c r="AI338" i="2" s="1"/>
  <c r="AD338" i="2"/>
  <c r="AH338" i="2" s="1"/>
  <c r="AC338" i="2"/>
  <c r="AL337" i="2"/>
  <c r="AI337" i="2"/>
  <c r="AH337" i="2"/>
  <c r="AG337" i="2"/>
  <c r="AE337" i="2"/>
  <c r="AM337" i="2" s="1"/>
  <c r="AD337" i="2"/>
  <c r="AC337" i="2"/>
  <c r="AK337" i="2" s="1"/>
  <c r="AE336" i="2"/>
  <c r="AD336" i="2"/>
  <c r="AL336" i="2" s="1"/>
  <c r="AC336" i="2"/>
  <c r="AK336" i="2" s="1"/>
  <c r="M336" i="2"/>
  <c r="K336" i="2"/>
  <c r="I336" i="2"/>
  <c r="AE335" i="2"/>
  <c r="AD335" i="2"/>
  <c r="AL335" i="2" s="1"/>
  <c r="AC335" i="2"/>
  <c r="AK335" i="2" s="1"/>
  <c r="M334" i="2"/>
  <c r="M341" i="2" s="1"/>
  <c r="K334" i="2"/>
  <c r="K341" i="2" s="1"/>
  <c r="I334" i="2"/>
  <c r="I341" i="2" s="1"/>
  <c r="AM333" i="2"/>
  <c r="AK333" i="2"/>
  <c r="AI333" i="2"/>
  <c r="AE333" i="2"/>
  <c r="AD333" i="2"/>
  <c r="AL333" i="2" s="1"/>
  <c r="AC333" i="2"/>
  <c r="AA331" i="2"/>
  <c r="Y331" i="2"/>
  <c r="W331" i="2"/>
  <c r="S331" i="2"/>
  <c r="Q331" i="2"/>
  <c r="O331" i="2"/>
  <c r="M331" i="2"/>
  <c r="K331" i="2"/>
  <c r="I331" i="2"/>
  <c r="AE330" i="2"/>
  <c r="AD330" i="2"/>
  <c r="AL330" i="2" s="1"/>
  <c r="AC330" i="2"/>
  <c r="AK330" i="2" s="1"/>
  <c r="AK331" i="2" s="1"/>
  <c r="AM329" i="2"/>
  <c r="AK329" i="2"/>
  <c r="AI329" i="2"/>
  <c r="AE329" i="2"/>
  <c r="AD329" i="2"/>
  <c r="AL329" i="2" s="1"/>
  <c r="AL331" i="2" s="1"/>
  <c r="AC329" i="2"/>
  <c r="AC331" i="2" s="1"/>
  <c r="AA327" i="2"/>
  <c r="Y327" i="2"/>
  <c r="W327" i="2"/>
  <c r="S327" i="2"/>
  <c r="Q327" i="2"/>
  <c r="O327" i="2"/>
  <c r="M327" i="2"/>
  <c r="K327" i="2"/>
  <c r="I327" i="2"/>
  <c r="AE326" i="2"/>
  <c r="AD326" i="2"/>
  <c r="AL326" i="2" s="1"/>
  <c r="AC326" i="2"/>
  <c r="AK326" i="2" s="1"/>
  <c r="AM325" i="2"/>
  <c r="AK325" i="2"/>
  <c r="AI325" i="2"/>
  <c r="AE325" i="2"/>
  <c r="AD325" i="2"/>
  <c r="AL325" i="2" s="1"/>
  <c r="AC325" i="2"/>
  <c r="AG325" i="2" s="1"/>
  <c r="AM324" i="2"/>
  <c r="AL324" i="2"/>
  <c r="AK324" i="2"/>
  <c r="AG324" i="2"/>
  <c r="AE324" i="2"/>
  <c r="AI324" i="2" s="1"/>
  <c r="AD324" i="2"/>
  <c r="AH324" i="2" s="1"/>
  <c r="AC324" i="2"/>
  <c r="AL323" i="2"/>
  <c r="AI323" i="2"/>
  <c r="AH323" i="2"/>
  <c r="AG323" i="2"/>
  <c r="AE323" i="2"/>
  <c r="AD323" i="2"/>
  <c r="AD327" i="2" s="1"/>
  <c r="AC323" i="2"/>
  <c r="AC327" i="2" s="1"/>
  <c r="AE321" i="2"/>
  <c r="Y321" i="2"/>
  <c r="Y342" i="2" s="1"/>
  <c r="W321" i="2"/>
  <c r="W342" i="2" s="1"/>
  <c r="S321" i="2"/>
  <c r="Q321" i="2"/>
  <c r="Q342" i="2" s="1"/>
  <c r="O321" i="2"/>
  <c r="O342" i="2" s="1"/>
  <c r="M321" i="2"/>
  <c r="K321" i="2"/>
  <c r="I321" i="2"/>
  <c r="I342" i="2" s="1"/>
  <c r="AM320" i="2"/>
  <c r="AL320" i="2"/>
  <c r="AK320" i="2"/>
  <c r="AG320" i="2"/>
  <c r="AE320" i="2"/>
  <c r="AI320" i="2" s="1"/>
  <c r="AD320" i="2"/>
  <c r="AH320" i="2" s="1"/>
  <c r="AC320" i="2"/>
  <c r="AL319" i="2"/>
  <c r="AI319" i="2"/>
  <c r="AH319" i="2"/>
  <c r="AG319" i="2"/>
  <c r="AE319" i="2"/>
  <c r="AM319" i="2" s="1"/>
  <c r="AD319" i="2"/>
  <c r="AC319" i="2"/>
  <c r="AK319" i="2" s="1"/>
  <c r="AE318" i="2"/>
  <c r="AD318" i="2"/>
  <c r="AD321" i="2" s="1"/>
  <c r="AC318" i="2"/>
  <c r="AC321" i="2" s="1"/>
  <c r="AM317" i="2"/>
  <c r="AK317" i="2"/>
  <c r="AI317" i="2"/>
  <c r="AE317" i="2"/>
  <c r="AD317" i="2"/>
  <c r="AL317" i="2" s="1"/>
  <c r="AC317" i="2"/>
  <c r="AG317" i="2" s="1"/>
  <c r="AA317" i="2"/>
  <c r="AA321" i="2" s="1"/>
  <c r="AA342" i="2" s="1"/>
  <c r="AM316" i="2"/>
  <c r="AL316" i="2"/>
  <c r="AK316" i="2"/>
  <c r="AH316" i="2"/>
  <c r="AG316" i="2"/>
  <c r="AE316" i="2"/>
  <c r="AI316" i="2" s="1"/>
  <c r="AD316" i="2"/>
  <c r="AC316" i="2"/>
  <c r="O312" i="2"/>
  <c r="K312" i="2"/>
  <c r="AC311" i="2"/>
  <c r="AA311" i="2"/>
  <c r="Y311" i="2"/>
  <c r="W311" i="2"/>
  <c r="S311" i="2"/>
  <c r="Q311" i="2"/>
  <c r="O311" i="2"/>
  <c r="M311" i="2"/>
  <c r="K311" i="2"/>
  <c r="I311" i="2"/>
  <c r="AM310" i="2"/>
  <c r="AK310" i="2"/>
  <c r="AI310" i="2"/>
  <c r="AH310" i="2"/>
  <c r="AE310" i="2"/>
  <c r="AD310" i="2"/>
  <c r="AL310" i="2" s="1"/>
  <c r="AC310" i="2"/>
  <c r="AG310" i="2" s="1"/>
  <c r="AG309" i="2"/>
  <c r="AE309" i="2"/>
  <c r="AM309" i="2" s="1"/>
  <c r="AD309" i="2"/>
  <c r="AL309" i="2" s="1"/>
  <c r="AC309" i="2"/>
  <c r="AK309" i="2" s="1"/>
  <c r="AC308" i="2"/>
  <c r="AM307" i="2"/>
  <c r="AE307" i="2"/>
  <c r="AI307" i="2" s="1"/>
  <c r="AD307" i="2"/>
  <c r="AC307" i="2"/>
  <c r="AK307" i="2" s="1"/>
  <c r="AM306" i="2"/>
  <c r="AL306" i="2"/>
  <c r="AI306" i="2"/>
  <c r="AH306" i="2"/>
  <c r="AE306" i="2"/>
  <c r="AD306" i="2"/>
  <c r="AC306" i="2"/>
  <c r="AK306" i="2" s="1"/>
  <c r="AL305" i="2"/>
  <c r="AK305" i="2"/>
  <c r="AI305" i="2"/>
  <c r="AG305" i="2"/>
  <c r="AE305" i="2"/>
  <c r="AE311" i="2" s="1"/>
  <c r="AD305" i="2"/>
  <c r="AH305" i="2" s="1"/>
  <c r="AE303" i="2"/>
  <c r="AE312" i="2" s="1"/>
  <c r="Y303" i="2"/>
  <c r="Y312" i="2" s="1"/>
  <c r="W303" i="2"/>
  <c r="W312" i="2" s="1"/>
  <c r="S303" i="2"/>
  <c r="S312" i="2" s="1"/>
  <c r="Q303" i="2"/>
  <c r="Q312" i="2" s="1"/>
  <c r="O303" i="2"/>
  <c r="K303" i="2"/>
  <c r="I303" i="2"/>
  <c r="I312" i="2" s="1"/>
  <c r="AM302" i="2"/>
  <c r="AL302" i="2"/>
  <c r="AK302" i="2"/>
  <c r="AI302" i="2"/>
  <c r="AH302" i="2"/>
  <c r="AG302" i="2"/>
  <c r="AE302" i="2"/>
  <c r="AD302" i="2"/>
  <c r="AC302" i="2"/>
  <c r="AA302" i="2"/>
  <c r="AL301" i="2"/>
  <c r="AK301" i="2"/>
  <c r="AI301" i="2"/>
  <c r="AG301" i="2"/>
  <c r="AE301" i="2"/>
  <c r="AM301" i="2" s="1"/>
  <c r="AD301" i="2"/>
  <c r="AH301" i="2" s="1"/>
  <c r="AC301" i="2"/>
  <c r="AH300" i="2"/>
  <c r="AG300" i="2"/>
  <c r="AE300" i="2"/>
  <c r="AM300" i="2" s="1"/>
  <c r="AD300" i="2"/>
  <c r="AL300" i="2" s="1"/>
  <c r="AC300" i="2"/>
  <c r="AK300" i="2" s="1"/>
  <c r="AA300" i="2"/>
  <c r="AA303" i="2" s="1"/>
  <c r="AA312" i="2" s="1"/>
  <c r="AI299" i="2"/>
  <c r="AE299" i="2"/>
  <c r="AD299" i="2"/>
  <c r="AH299" i="2" s="1"/>
  <c r="AC299" i="2"/>
  <c r="AG299" i="2" s="1"/>
  <c r="AM298" i="2"/>
  <c r="AE298" i="2"/>
  <c r="AI298" i="2" s="1"/>
  <c r="M298" i="2"/>
  <c r="AD298" i="2" s="1"/>
  <c r="O294" i="2"/>
  <c r="M294" i="2"/>
  <c r="K294" i="2"/>
  <c r="AC293" i="2"/>
  <c r="AA293" i="2"/>
  <c r="Y293" i="2"/>
  <c r="W293" i="2"/>
  <c r="S293" i="2"/>
  <c r="Q293" i="2"/>
  <c r="O293" i="2"/>
  <c r="M293" i="2"/>
  <c r="K293" i="2"/>
  <c r="I293" i="2"/>
  <c r="AK292" i="2"/>
  <c r="AI292" i="2"/>
  <c r="AH292" i="2"/>
  <c r="AE292" i="2"/>
  <c r="AM292" i="2" s="1"/>
  <c r="AD292" i="2"/>
  <c r="AL292" i="2" s="1"/>
  <c r="AC292" i="2"/>
  <c r="AG292" i="2" s="1"/>
  <c r="AC291" i="2"/>
  <c r="AH290" i="2"/>
  <c r="AG290" i="2"/>
  <c r="AE290" i="2"/>
  <c r="AM290" i="2" s="1"/>
  <c r="AD290" i="2"/>
  <c r="AL290" i="2" s="1"/>
  <c r="AC290" i="2"/>
  <c r="AK290" i="2" s="1"/>
  <c r="AM289" i="2"/>
  <c r="AE289" i="2"/>
  <c r="AI289" i="2" s="1"/>
  <c r="AD289" i="2"/>
  <c r="AC289" i="2"/>
  <c r="AK289" i="2" s="1"/>
  <c r="AC288" i="2"/>
  <c r="AM287" i="2"/>
  <c r="AK287" i="2"/>
  <c r="AK293" i="2" s="1"/>
  <c r="AI287" i="2"/>
  <c r="AE287" i="2"/>
  <c r="AE293" i="2" s="1"/>
  <c r="AD287" i="2"/>
  <c r="AL287" i="2" s="1"/>
  <c r="AC287" i="2"/>
  <c r="AG287" i="2" s="1"/>
  <c r="AA285" i="2"/>
  <c r="Y285" i="2"/>
  <c r="W285" i="2"/>
  <c r="S285" i="2"/>
  <c r="Q285" i="2"/>
  <c r="O285" i="2"/>
  <c r="M285" i="2"/>
  <c r="K285" i="2"/>
  <c r="I285" i="2"/>
  <c r="I294" i="2" s="1"/>
  <c r="AE284" i="2"/>
  <c r="AD284" i="2"/>
  <c r="AD285" i="2" s="1"/>
  <c r="AC284" i="2"/>
  <c r="AC285" i="2" s="1"/>
  <c r="Y282" i="2"/>
  <c r="Y294" i="2" s="1"/>
  <c r="W282" i="2"/>
  <c r="W294" i="2" s="1"/>
  <c r="S282" i="2"/>
  <c r="S294" i="2" s="1"/>
  <c r="Q282" i="2"/>
  <c r="Q294" i="2" s="1"/>
  <c r="O282" i="2"/>
  <c r="M282" i="2"/>
  <c r="K282" i="2"/>
  <c r="I282" i="2"/>
  <c r="AI281" i="2"/>
  <c r="AH281" i="2"/>
  <c r="AG281" i="2"/>
  <c r="AE281" i="2"/>
  <c r="AM281" i="2" s="1"/>
  <c r="AD281" i="2"/>
  <c r="AL281" i="2" s="1"/>
  <c r="AC281" i="2"/>
  <c r="AK281" i="2" s="1"/>
  <c r="AC280" i="2"/>
  <c r="AH279" i="2"/>
  <c r="AG279" i="2"/>
  <c r="AE279" i="2"/>
  <c r="AM279" i="2" s="1"/>
  <c r="AD279" i="2"/>
  <c r="AL279" i="2" s="1"/>
  <c r="AC279" i="2"/>
  <c r="AK279" i="2" s="1"/>
  <c r="AM278" i="2"/>
  <c r="AE278" i="2"/>
  <c r="AI278" i="2" s="1"/>
  <c r="AD278" i="2"/>
  <c r="AC278" i="2"/>
  <c r="AM277" i="2"/>
  <c r="AM282" i="2" s="1"/>
  <c r="AL277" i="2"/>
  <c r="AK277" i="2"/>
  <c r="AI277" i="2"/>
  <c r="AE277" i="2"/>
  <c r="AE282" i="2" s="1"/>
  <c r="AD277" i="2"/>
  <c r="AH277" i="2" s="1"/>
  <c r="AC277" i="2"/>
  <c r="AG277" i="2" s="1"/>
  <c r="S273" i="2"/>
  <c r="AA272" i="2"/>
  <c r="Y272" i="2"/>
  <c r="W272" i="2"/>
  <c r="S272" i="2"/>
  <c r="Q272" i="2"/>
  <c r="O272" i="2"/>
  <c r="M272" i="2"/>
  <c r="K272" i="2"/>
  <c r="I272" i="2"/>
  <c r="AM271" i="2"/>
  <c r="AL271" i="2"/>
  <c r="AK271" i="2"/>
  <c r="AH271" i="2"/>
  <c r="AG271" i="2"/>
  <c r="AE271" i="2"/>
  <c r="AI271" i="2" s="1"/>
  <c r="AD271" i="2"/>
  <c r="AC271" i="2"/>
  <c r="AK270" i="2"/>
  <c r="AI270" i="2"/>
  <c r="AE270" i="2"/>
  <c r="AM270" i="2" s="1"/>
  <c r="AD270" i="2"/>
  <c r="AH270" i="2" s="1"/>
  <c r="AC270" i="2"/>
  <c r="AG270" i="2" s="1"/>
  <c r="AG269" i="2"/>
  <c r="AE269" i="2"/>
  <c r="AD269" i="2"/>
  <c r="AL269" i="2" s="1"/>
  <c r="AC269" i="2"/>
  <c r="AK269" i="2" s="1"/>
  <c r="AM268" i="2"/>
  <c r="AL268" i="2"/>
  <c r="AI268" i="2"/>
  <c r="AH268" i="2"/>
  <c r="AE268" i="2"/>
  <c r="AD268" i="2"/>
  <c r="AC268" i="2"/>
  <c r="AM267" i="2"/>
  <c r="AL267" i="2"/>
  <c r="AK267" i="2"/>
  <c r="AH267" i="2"/>
  <c r="AG267" i="2"/>
  <c r="AE267" i="2"/>
  <c r="AI267" i="2" s="1"/>
  <c r="AD267" i="2"/>
  <c r="AC267" i="2"/>
  <c r="AK266" i="2"/>
  <c r="AI266" i="2"/>
  <c r="AE266" i="2"/>
  <c r="AM266" i="2" s="1"/>
  <c r="AD266" i="2"/>
  <c r="AD272" i="2" s="1"/>
  <c r="AC266" i="2"/>
  <c r="AC265" i="2"/>
  <c r="AH264" i="2"/>
  <c r="AG264" i="2"/>
  <c r="AE264" i="2"/>
  <c r="AM264" i="2" s="1"/>
  <c r="AD264" i="2"/>
  <c r="AL264" i="2" s="1"/>
  <c r="AC264" i="2"/>
  <c r="AK264" i="2" s="1"/>
  <c r="AA262" i="2"/>
  <c r="Y262" i="2"/>
  <c r="W262" i="2"/>
  <c r="S262" i="2"/>
  <c r="Q262" i="2"/>
  <c r="O262" i="2"/>
  <c r="M262" i="2"/>
  <c r="K262" i="2"/>
  <c r="I262" i="2"/>
  <c r="AL261" i="2"/>
  <c r="AK261" i="2"/>
  <c r="AE261" i="2"/>
  <c r="AI261" i="2" s="1"/>
  <c r="AD261" i="2"/>
  <c r="AH261" i="2" s="1"/>
  <c r="AC261" i="2"/>
  <c r="AG261" i="2" s="1"/>
  <c r="AH260" i="2"/>
  <c r="AG260" i="2"/>
  <c r="AE260" i="2"/>
  <c r="AM260" i="2" s="1"/>
  <c r="AD260" i="2"/>
  <c r="AL260" i="2" s="1"/>
  <c r="AC260" i="2"/>
  <c r="AK260" i="2" s="1"/>
  <c r="AM259" i="2"/>
  <c r="AI259" i="2"/>
  <c r="AE259" i="2"/>
  <c r="AE262" i="2" s="1"/>
  <c r="AD259" i="2"/>
  <c r="AC259" i="2"/>
  <c r="AA257" i="2"/>
  <c r="Y257" i="2"/>
  <c r="W257" i="2"/>
  <c r="W273" i="2" s="1"/>
  <c r="S257" i="2"/>
  <c r="Q257" i="2"/>
  <c r="O257" i="2"/>
  <c r="M257" i="2"/>
  <c r="K257" i="2"/>
  <c r="I257" i="2"/>
  <c r="AH256" i="2"/>
  <c r="AG256" i="2"/>
  <c r="AE256" i="2"/>
  <c r="AM256" i="2" s="1"/>
  <c r="AD256" i="2"/>
  <c r="AL256" i="2" s="1"/>
  <c r="AC256" i="2"/>
  <c r="AK256" i="2" s="1"/>
  <c r="AM255" i="2"/>
  <c r="AI255" i="2"/>
  <c r="AE255" i="2"/>
  <c r="AD255" i="2"/>
  <c r="AC255" i="2"/>
  <c r="AM254" i="2"/>
  <c r="AL254" i="2"/>
  <c r="AK254" i="2"/>
  <c r="AI254" i="2"/>
  <c r="AH254" i="2"/>
  <c r="AG254" i="2"/>
  <c r="AE254" i="2"/>
  <c r="AD254" i="2"/>
  <c r="AC254" i="2"/>
  <c r="AL253" i="2"/>
  <c r="AK253" i="2"/>
  <c r="AE253" i="2"/>
  <c r="AI253" i="2" s="1"/>
  <c r="AD253" i="2"/>
  <c r="AH253" i="2" s="1"/>
  <c r="AC253" i="2"/>
  <c r="AG253" i="2" s="1"/>
  <c r="AG251" i="2"/>
  <c r="AA251" i="2"/>
  <c r="Y251" i="2"/>
  <c r="W251" i="2"/>
  <c r="S251" i="2"/>
  <c r="Q251" i="2"/>
  <c r="O251" i="2"/>
  <c r="M251" i="2"/>
  <c r="K251" i="2"/>
  <c r="K273" i="2" s="1"/>
  <c r="I251" i="2"/>
  <c r="AM250" i="2"/>
  <c r="AL250" i="2"/>
  <c r="AI250" i="2"/>
  <c r="AH250" i="2"/>
  <c r="AG250" i="2"/>
  <c r="AE250" i="2"/>
  <c r="AD250" i="2"/>
  <c r="AC250" i="2"/>
  <c r="AK250" i="2" s="1"/>
  <c r="AA250" i="2"/>
  <c r="AM249" i="2"/>
  <c r="AL249" i="2"/>
  <c r="AK249" i="2"/>
  <c r="AG249" i="2"/>
  <c r="AE249" i="2"/>
  <c r="AI249" i="2" s="1"/>
  <c r="AD249" i="2"/>
  <c r="AH249" i="2" s="1"/>
  <c r="AC249" i="2"/>
  <c r="AI248" i="2"/>
  <c r="AH248" i="2"/>
  <c r="AE248" i="2"/>
  <c r="AM248" i="2" s="1"/>
  <c r="AD248" i="2"/>
  <c r="AL248" i="2" s="1"/>
  <c r="AC248" i="2"/>
  <c r="AG248" i="2" s="1"/>
  <c r="AA248" i="2"/>
  <c r="AG247" i="2"/>
  <c r="AE247" i="2"/>
  <c r="AD247" i="2"/>
  <c r="AD251" i="2" s="1"/>
  <c r="AC247" i="2"/>
  <c r="AC251" i="2" s="1"/>
  <c r="AC245" i="2"/>
  <c r="Y245" i="2"/>
  <c r="Y273" i="2" s="1"/>
  <c r="W245" i="2"/>
  <c r="S245" i="2"/>
  <c r="Q245" i="2"/>
  <c r="Q273" i="2" s="1"/>
  <c r="O245" i="2"/>
  <c r="O273" i="2" s="1"/>
  <c r="M245" i="2"/>
  <c r="M273" i="2" s="1"/>
  <c r="K245" i="2"/>
  <c r="I245" i="2"/>
  <c r="AK244" i="2"/>
  <c r="AI244" i="2"/>
  <c r="AE244" i="2"/>
  <c r="AM244" i="2" s="1"/>
  <c r="AD244" i="2"/>
  <c r="AH244" i="2" s="1"/>
  <c r="AC244" i="2"/>
  <c r="AG244" i="2" s="1"/>
  <c r="AA244" i="2"/>
  <c r="AG243" i="2"/>
  <c r="AC243" i="2"/>
  <c r="AK242" i="2"/>
  <c r="AI242" i="2"/>
  <c r="AE242" i="2"/>
  <c r="AM242" i="2" s="1"/>
  <c r="AD242" i="2"/>
  <c r="AH242" i="2" s="1"/>
  <c r="AC242" i="2"/>
  <c r="AG242" i="2" s="1"/>
  <c r="AG241" i="2"/>
  <c r="AE241" i="2"/>
  <c r="AD241" i="2"/>
  <c r="AL241" i="2" s="1"/>
  <c r="AC241" i="2"/>
  <c r="AK241" i="2" s="1"/>
  <c r="AM240" i="2"/>
  <c r="AL240" i="2"/>
  <c r="AI240" i="2"/>
  <c r="AH240" i="2"/>
  <c r="AE240" i="2"/>
  <c r="AD240" i="2"/>
  <c r="AC240" i="2"/>
  <c r="AA240" i="2"/>
  <c r="AA245" i="2" s="1"/>
  <c r="AA273" i="2" s="1"/>
  <c r="AM239" i="2"/>
  <c r="AL239" i="2"/>
  <c r="AK239" i="2"/>
  <c r="AI239" i="2"/>
  <c r="AH239" i="2"/>
  <c r="AG239" i="2"/>
  <c r="AE239" i="2"/>
  <c r="AD239" i="2"/>
  <c r="AD245" i="2" s="1"/>
  <c r="AC239" i="2"/>
  <c r="AA234" i="2"/>
  <c r="Y234" i="2"/>
  <c r="W234" i="2"/>
  <c r="S234" i="2"/>
  <c r="Q234" i="2"/>
  <c r="M234" i="2"/>
  <c r="K234" i="2"/>
  <c r="I234" i="2"/>
  <c r="AL233" i="2"/>
  <c r="AK233" i="2"/>
  <c r="AE233" i="2"/>
  <c r="AD233" i="2"/>
  <c r="AH233" i="2" s="1"/>
  <c r="AC233" i="2"/>
  <c r="AG233" i="2" s="1"/>
  <c r="AC232" i="2"/>
  <c r="AC231" i="2"/>
  <c r="AC234" i="2" s="1"/>
  <c r="O231" i="2"/>
  <c r="AE231" i="2" s="1"/>
  <c r="AM231" i="2" s="1"/>
  <c r="AG230" i="2"/>
  <c r="AE230" i="2"/>
  <c r="AD230" i="2"/>
  <c r="AL230" i="2" s="1"/>
  <c r="AC230" i="2"/>
  <c r="AK230" i="2" s="1"/>
  <c r="AC228" i="2"/>
  <c r="AA228" i="2"/>
  <c r="Y228" i="2"/>
  <c r="W228" i="2"/>
  <c r="S228" i="2"/>
  <c r="Q228" i="2"/>
  <c r="Q235" i="2" s="1"/>
  <c r="O228" i="2"/>
  <c r="M228" i="2"/>
  <c r="K228" i="2"/>
  <c r="I228" i="2"/>
  <c r="AK227" i="2"/>
  <c r="AI227" i="2"/>
  <c r="AE227" i="2"/>
  <c r="AM227" i="2" s="1"/>
  <c r="AD227" i="2"/>
  <c r="AC227" i="2"/>
  <c r="AG227" i="2" s="1"/>
  <c r="AG226" i="2"/>
  <c r="AG228" i="2" s="1"/>
  <c r="AE226" i="2"/>
  <c r="AD226" i="2"/>
  <c r="AC226" i="2"/>
  <c r="AK226" i="2" s="1"/>
  <c r="AA224" i="2"/>
  <c r="Y224" i="2"/>
  <c r="W224" i="2"/>
  <c r="S224" i="2"/>
  <c r="Q224" i="2"/>
  <c r="O224" i="2"/>
  <c r="AK223" i="2"/>
  <c r="AI223" i="2"/>
  <c r="AE223" i="2"/>
  <c r="AM223" i="2" s="1"/>
  <c r="AD223" i="2"/>
  <c r="AL223" i="2" s="1"/>
  <c r="AC223" i="2"/>
  <c r="AG223" i="2" s="1"/>
  <c r="O222" i="2"/>
  <c r="M222" i="2"/>
  <c r="M224" i="2" s="1"/>
  <c r="M235" i="2" s="1"/>
  <c r="K222" i="2"/>
  <c r="AE222" i="2" s="1"/>
  <c r="I222" i="2"/>
  <c r="I224" i="2" s="1"/>
  <c r="Y220" i="2"/>
  <c r="W220" i="2"/>
  <c r="W235" i="2" s="1"/>
  <c r="S220" i="2"/>
  <c r="Q220" i="2"/>
  <c r="O220" i="2"/>
  <c r="M220" i="2"/>
  <c r="K220" i="2"/>
  <c r="I220" i="2"/>
  <c r="I235" i="2" s="1"/>
  <c r="AM219" i="2"/>
  <c r="AL219" i="2"/>
  <c r="AK219" i="2"/>
  <c r="AI219" i="2"/>
  <c r="AH219" i="2"/>
  <c r="AG219" i="2"/>
  <c r="AE219" i="2"/>
  <c r="AD219" i="2"/>
  <c r="AC219" i="2"/>
  <c r="AC218" i="2"/>
  <c r="AG218" i="2" s="1"/>
  <c r="AM217" i="2"/>
  <c r="AL217" i="2"/>
  <c r="AK217" i="2"/>
  <c r="AI217" i="2"/>
  <c r="AH217" i="2"/>
  <c r="AG217" i="2"/>
  <c r="AE217" i="2"/>
  <c r="AD217" i="2"/>
  <c r="AC217" i="2"/>
  <c r="AM216" i="2"/>
  <c r="AL216" i="2"/>
  <c r="AK216" i="2"/>
  <c r="AG216" i="2"/>
  <c r="AE216" i="2"/>
  <c r="AI216" i="2" s="1"/>
  <c r="AD216" i="2"/>
  <c r="AH216" i="2" s="1"/>
  <c r="AC216" i="2"/>
  <c r="AI215" i="2"/>
  <c r="AH215" i="2"/>
  <c r="AE215" i="2"/>
  <c r="AM215" i="2" s="1"/>
  <c r="AD215" i="2"/>
  <c r="AL215" i="2" s="1"/>
  <c r="AC215" i="2"/>
  <c r="AA215" i="2"/>
  <c r="AG214" i="2"/>
  <c r="AE214" i="2"/>
  <c r="AE220" i="2" s="1"/>
  <c r="AD214" i="2"/>
  <c r="AC214" i="2"/>
  <c r="AA219" i="2"/>
  <c r="S210" i="2"/>
  <c r="AA209" i="2"/>
  <c r="Y209" i="2"/>
  <c r="W209" i="2"/>
  <c r="S209" i="2"/>
  <c r="Q209" i="2"/>
  <c r="O209" i="2"/>
  <c r="M209" i="2"/>
  <c r="K209" i="2"/>
  <c r="I209" i="2"/>
  <c r="AM208" i="2"/>
  <c r="AI208" i="2"/>
  <c r="AE208" i="2"/>
  <c r="AD208" i="2"/>
  <c r="AH208" i="2" s="1"/>
  <c r="AC208" i="2"/>
  <c r="AM207" i="2"/>
  <c r="AL207" i="2"/>
  <c r="AK207" i="2"/>
  <c r="AI207" i="2"/>
  <c r="AH207" i="2"/>
  <c r="AE207" i="2"/>
  <c r="AD207" i="2"/>
  <c r="AC207" i="2"/>
  <c r="AG207" i="2" s="1"/>
  <c r="AL206" i="2"/>
  <c r="AI206" i="2"/>
  <c r="AE206" i="2"/>
  <c r="AM206" i="2" s="1"/>
  <c r="AD206" i="2"/>
  <c r="AH206" i="2" s="1"/>
  <c r="O206" i="2"/>
  <c r="AC206" i="2" s="1"/>
  <c r="AH205" i="2"/>
  <c r="AG205" i="2"/>
  <c r="AE205" i="2"/>
  <c r="AM205" i="2" s="1"/>
  <c r="AD205" i="2"/>
  <c r="AL205" i="2" s="1"/>
  <c r="AC205" i="2"/>
  <c r="AK205" i="2" s="1"/>
  <c r="AE204" i="2"/>
  <c r="AI204" i="2" s="1"/>
  <c r="AD204" i="2"/>
  <c r="AC204" i="2"/>
  <c r="AM203" i="2"/>
  <c r="AL203" i="2"/>
  <c r="AK203" i="2"/>
  <c r="AI203" i="2"/>
  <c r="AG203" i="2"/>
  <c r="AE203" i="2"/>
  <c r="AD203" i="2"/>
  <c r="AH203" i="2" s="1"/>
  <c r="AC203" i="2"/>
  <c r="AL202" i="2"/>
  <c r="AK202" i="2"/>
  <c r="AG202" i="2"/>
  <c r="AE202" i="2"/>
  <c r="AC202" i="2"/>
  <c r="O202" i="2"/>
  <c r="AD202" i="2" s="1"/>
  <c r="AH202" i="2" s="1"/>
  <c r="AK201" i="2"/>
  <c r="AI201" i="2"/>
  <c r="AG201" i="2"/>
  <c r="AE201" i="2"/>
  <c r="AM201" i="2" s="1"/>
  <c r="AD201" i="2"/>
  <c r="AL201" i="2" s="1"/>
  <c r="AC201" i="2"/>
  <c r="AG200" i="2"/>
  <c r="AE200" i="2"/>
  <c r="AD200" i="2"/>
  <c r="AC200" i="2"/>
  <c r="AK200" i="2" s="1"/>
  <c r="AM199" i="2"/>
  <c r="AL199" i="2"/>
  <c r="AH199" i="2"/>
  <c r="AE199" i="2"/>
  <c r="AI199" i="2" s="1"/>
  <c r="AD199" i="2"/>
  <c r="AC199" i="2"/>
  <c r="AA197" i="2"/>
  <c r="Y197" i="2"/>
  <c r="W197" i="2"/>
  <c r="S197" i="2"/>
  <c r="Q197" i="2"/>
  <c r="O197" i="2"/>
  <c r="M197" i="2"/>
  <c r="K197" i="2"/>
  <c r="I197" i="2"/>
  <c r="AE196" i="2"/>
  <c r="AD196" i="2"/>
  <c r="AC196" i="2"/>
  <c r="AK196" i="2" s="1"/>
  <c r="AC195" i="2"/>
  <c r="AM194" i="2"/>
  <c r="AI194" i="2"/>
  <c r="AE194" i="2"/>
  <c r="AD194" i="2"/>
  <c r="AC194" i="2"/>
  <c r="AA192" i="2"/>
  <c r="Y192" i="2"/>
  <c r="W192" i="2"/>
  <c r="S192" i="2"/>
  <c r="Q192" i="2"/>
  <c r="M192" i="2"/>
  <c r="K192" i="2"/>
  <c r="I192" i="2"/>
  <c r="AH191" i="2"/>
  <c r="AG191" i="2"/>
  <c r="AE191" i="2"/>
  <c r="AD191" i="2"/>
  <c r="AL191" i="2" s="1"/>
  <c r="AC191" i="2"/>
  <c r="AK191" i="2" s="1"/>
  <c r="AM190" i="2"/>
  <c r="AL190" i="2"/>
  <c r="AI190" i="2"/>
  <c r="AE190" i="2"/>
  <c r="AD190" i="2"/>
  <c r="AH190" i="2" s="1"/>
  <c r="AC190" i="2"/>
  <c r="AM189" i="2"/>
  <c r="AL189" i="2"/>
  <c r="AK189" i="2"/>
  <c r="AI189" i="2"/>
  <c r="AH189" i="2"/>
  <c r="AE189" i="2"/>
  <c r="AD189" i="2"/>
  <c r="AC189" i="2"/>
  <c r="AG189" i="2" s="1"/>
  <c r="AH188" i="2"/>
  <c r="AH192" i="2" s="1"/>
  <c r="AE188" i="2"/>
  <c r="AD188" i="2"/>
  <c r="AD192" i="2" s="1"/>
  <c r="O188" i="2"/>
  <c r="O192" i="2" s="1"/>
  <c r="AI186" i="2"/>
  <c r="AE186" i="2"/>
  <c r="Y186" i="2"/>
  <c r="W186" i="2"/>
  <c r="S186" i="2"/>
  <c r="Q186" i="2"/>
  <c r="O186" i="2"/>
  <c r="M186" i="2"/>
  <c r="K186" i="2"/>
  <c r="I186" i="2"/>
  <c r="AM185" i="2"/>
  <c r="AL185" i="2"/>
  <c r="AK185" i="2"/>
  <c r="AI185" i="2"/>
  <c r="AG185" i="2"/>
  <c r="AE185" i="2"/>
  <c r="AD185" i="2"/>
  <c r="AH185" i="2" s="1"/>
  <c r="AC185" i="2"/>
  <c r="AA185" i="2"/>
  <c r="AA186" i="2" s="1"/>
  <c r="AM184" i="2"/>
  <c r="AL184" i="2"/>
  <c r="AK184" i="2"/>
  <c r="AI184" i="2"/>
  <c r="AH184" i="2"/>
  <c r="AG184" i="2"/>
  <c r="AE184" i="2"/>
  <c r="AD184" i="2"/>
  <c r="AC184" i="2"/>
  <c r="AK183" i="2"/>
  <c r="AI183" i="2"/>
  <c r="AH183" i="2"/>
  <c r="AE183" i="2"/>
  <c r="AM183" i="2" s="1"/>
  <c r="AD183" i="2"/>
  <c r="AL183" i="2" s="1"/>
  <c r="AC183" i="2"/>
  <c r="AC186" i="2" s="1"/>
  <c r="AA183" i="2"/>
  <c r="AM182" i="2"/>
  <c r="AG182" i="2"/>
  <c r="AE182" i="2"/>
  <c r="AI182" i="2" s="1"/>
  <c r="AD182" i="2"/>
  <c r="AC182" i="2"/>
  <c r="AK182" i="2" s="1"/>
  <c r="AA180" i="2"/>
  <c r="Y180" i="2"/>
  <c r="W180" i="2"/>
  <c r="S180" i="2"/>
  <c r="Q180" i="2"/>
  <c r="O180" i="2"/>
  <c r="M180" i="2"/>
  <c r="K180" i="2"/>
  <c r="I180" i="2"/>
  <c r="AL179" i="2"/>
  <c r="AK179" i="2"/>
  <c r="AI179" i="2"/>
  <c r="AH179" i="2"/>
  <c r="AG179" i="2"/>
  <c r="AE179" i="2"/>
  <c r="AM179" i="2" s="1"/>
  <c r="AD179" i="2"/>
  <c r="AC179" i="2"/>
  <c r="AM178" i="2"/>
  <c r="AK178" i="2"/>
  <c r="AE178" i="2"/>
  <c r="AI178" i="2" s="1"/>
  <c r="AD178" i="2"/>
  <c r="AL178" i="2" s="1"/>
  <c r="AC178" i="2"/>
  <c r="AG178" i="2" s="1"/>
  <c r="AK177" i="2"/>
  <c r="AI177" i="2"/>
  <c r="AG177" i="2"/>
  <c r="AE177" i="2"/>
  <c r="AM177" i="2" s="1"/>
  <c r="AD177" i="2"/>
  <c r="AC177" i="2"/>
  <c r="AL176" i="2"/>
  <c r="AH176" i="2"/>
  <c r="AE176" i="2"/>
  <c r="AD176" i="2"/>
  <c r="AC176" i="2"/>
  <c r="AK176" i="2" s="1"/>
  <c r="AA176" i="2"/>
  <c r="AM175" i="2"/>
  <c r="AI175" i="2"/>
  <c r="AH175" i="2"/>
  <c r="AE175" i="2"/>
  <c r="AD175" i="2"/>
  <c r="AL175" i="2" s="1"/>
  <c r="AC175" i="2"/>
  <c r="AL174" i="2"/>
  <c r="AK174" i="2"/>
  <c r="AG174" i="2"/>
  <c r="AE174" i="2"/>
  <c r="AD174" i="2"/>
  <c r="AD180" i="2" s="1"/>
  <c r="AD173" i="2"/>
  <c r="Y173" i="2"/>
  <c r="Y210" i="2" s="1"/>
  <c r="W173" i="2"/>
  <c r="W210" i="2" s="1"/>
  <c r="S173" i="2"/>
  <c r="Q173" i="2"/>
  <c r="Q210" i="2" s="1"/>
  <c r="O173" i="2"/>
  <c r="M173" i="2"/>
  <c r="M210" i="2" s="1"/>
  <c r="K173" i="2"/>
  <c r="I173" i="2"/>
  <c r="I210" i="2" s="1"/>
  <c r="AM172" i="2"/>
  <c r="AL172" i="2"/>
  <c r="AI172" i="2"/>
  <c r="AH172" i="2"/>
  <c r="AG172" i="2"/>
  <c r="AE172" i="2"/>
  <c r="AD172" i="2"/>
  <c r="AC172" i="2"/>
  <c r="AK172" i="2" s="1"/>
  <c r="AA172" i="2"/>
  <c r="AA173" i="2" s="1"/>
  <c r="AL171" i="2"/>
  <c r="AK171" i="2"/>
  <c r="AG171" i="2"/>
  <c r="AE171" i="2"/>
  <c r="AM171" i="2" s="1"/>
  <c r="AD171" i="2"/>
  <c r="AH171" i="2" s="1"/>
  <c r="AC171" i="2"/>
  <c r="AL170" i="2"/>
  <c r="AK170" i="2"/>
  <c r="AH170" i="2"/>
  <c r="AE170" i="2"/>
  <c r="AD170" i="2"/>
  <c r="AC170" i="2"/>
  <c r="AG170" i="2" s="1"/>
  <c r="AM169" i="2"/>
  <c r="AI169" i="2"/>
  <c r="AG169" i="2"/>
  <c r="AE169" i="2"/>
  <c r="AD169" i="2"/>
  <c r="AL169" i="2" s="1"/>
  <c r="AC169" i="2"/>
  <c r="AK169" i="2" s="1"/>
  <c r="AM168" i="2"/>
  <c r="AI168" i="2"/>
  <c r="AH168" i="2"/>
  <c r="AE168" i="2"/>
  <c r="AD168" i="2"/>
  <c r="AL168" i="2" s="1"/>
  <c r="AC168" i="2"/>
  <c r="AA168" i="2"/>
  <c r="AM167" i="2"/>
  <c r="AL167" i="2"/>
  <c r="AK167" i="2"/>
  <c r="AH167" i="2"/>
  <c r="AG167" i="2"/>
  <c r="AE167" i="2"/>
  <c r="AI167" i="2" s="1"/>
  <c r="AD167" i="2"/>
  <c r="AC167" i="2"/>
  <c r="AM166" i="2"/>
  <c r="AL166" i="2"/>
  <c r="AL173" i="2" s="1"/>
  <c r="AI166" i="2"/>
  <c r="AE166" i="2"/>
  <c r="AD166" i="2"/>
  <c r="AH166" i="2" s="1"/>
  <c r="AC166" i="2"/>
  <c r="AA161" i="2"/>
  <c r="Y161" i="2"/>
  <c r="W161" i="2"/>
  <c r="S161" i="2"/>
  <c r="Q161" i="2"/>
  <c r="O161" i="2"/>
  <c r="M161" i="2"/>
  <c r="K161" i="2"/>
  <c r="I161" i="2"/>
  <c r="AH160" i="2"/>
  <c r="AE160" i="2"/>
  <c r="AM160" i="2" s="1"/>
  <c r="AD160" i="2"/>
  <c r="AL160" i="2" s="1"/>
  <c r="AC160" i="2"/>
  <c r="AK159" i="2"/>
  <c r="AI159" i="2"/>
  <c r="AG159" i="2"/>
  <c r="AE159" i="2"/>
  <c r="AM159" i="2" s="1"/>
  <c r="AD159" i="2"/>
  <c r="AC159" i="2"/>
  <c r="AM158" i="2"/>
  <c r="AL158" i="2"/>
  <c r="AK158" i="2"/>
  <c r="AH158" i="2"/>
  <c r="AG158" i="2"/>
  <c r="AE158" i="2"/>
  <c r="AI158" i="2" s="1"/>
  <c r="AD158" i="2"/>
  <c r="AC158" i="2"/>
  <c r="AM157" i="2"/>
  <c r="AL157" i="2"/>
  <c r="AI157" i="2"/>
  <c r="AG157" i="2"/>
  <c r="AE157" i="2"/>
  <c r="AD157" i="2"/>
  <c r="AH157" i="2" s="1"/>
  <c r="AC157" i="2"/>
  <c r="AK157" i="2" s="1"/>
  <c r="AH156" i="2"/>
  <c r="AE156" i="2"/>
  <c r="AM156" i="2" s="1"/>
  <c r="AD156" i="2"/>
  <c r="AL156" i="2" s="1"/>
  <c r="AC156" i="2"/>
  <c r="AK155" i="2"/>
  <c r="AI155" i="2"/>
  <c r="AG155" i="2"/>
  <c r="AE155" i="2"/>
  <c r="AM155" i="2" s="1"/>
  <c r="AD155" i="2"/>
  <c r="AC155" i="2"/>
  <c r="AM154" i="2"/>
  <c r="AL154" i="2"/>
  <c r="AK154" i="2"/>
  <c r="AH154" i="2"/>
  <c r="AG154" i="2"/>
  <c r="AE154" i="2"/>
  <c r="AI154" i="2" s="1"/>
  <c r="AD154" i="2"/>
  <c r="AC154" i="2"/>
  <c r="AM153" i="2"/>
  <c r="AL153" i="2"/>
  <c r="AI153" i="2"/>
  <c r="AG153" i="2"/>
  <c r="AE153" i="2"/>
  <c r="AD153" i="2"/>
  <c r="AC153" i="2"/>
  <c r="AH151" i="2"/>
  <c r="AE151" i="2"/>
  <c r="AD151" i="2"/>
  <c r="AC151" i="2"/>
  <c r="AA151" i="2"/>
  <c r="Y151" i="2"/>
  <c r="W151" i="2"/>
  <c r="W162" i="2" s="1"/>
  <c r="S151" i="2"/>
  <c r="Q151" i="2"/>
  <c r="O151" i="2"/>
  <c r="M151" i="2"/>
  <c r="K151" i="2"/>
  <c r="I151" i="2"/>
  <c r="AM150" i="2"/>
  <c r="AM151" i="2" s="1"/>
  <c r="AL150" i="2"/>
  <c r="AL151" i="2" s="1"/>
  <c r="AK150" i="2"/>
  <c r="AK151" i="2" s="1"/>
  <c r="AH150" i="2"/>
  <c r="AG150" i="2"/>
  <c r="AG151" i="2" s="1"/>
  <c r="AE150" i="2"/>
  <c r="AI150" i="2" s="1"/>
  <c r="AI151" i="2" s="1"/>
  <c r="AD150" i="2"/>
  <c r="AC150" i="2"/>
  <c r="AA148" i="2"/>
  <c r="Y148" i="2"/>
  <c r="W148" i="2"/>
  <c r="S148" i="2"/>
  <c r="Q148" i="2"/>
  <c r="O148" i="2"/>
  <c r="I148" i="2"/>
  <c r="AK147" i="2"/>
  <c r="AI147" i="2"/>
  <c r="AG147" i="2"/>
  <c r="AE147" i="2"/>
  <c r="AM147" i="2" s="1"/>
  <c r="AD147" i="2"/>
  <c r="AC147" i="2"/>
  <c r="AM146" i="2"/>
  <c r="AL146" i="2"/>
  <c r="AK146" i="2"/>
  <c r="AH146" i="2"/>
  <c r="AG146" i="2"/>
  <c r="AE146" i="2"/>
  <c r="AI146" i="2" s="1"/>
  <c r="AD146" i="2"/>
  <c r="AC146" i="2"/>
  <c r="AM145" i="2"/>
  <c r="AL145" i="2"/>
  <c r="AI145" i="2"/>
  <c r="AG145" i="2"/>
  <c r="AE145" i="2"/>
  <c r="AD145" i="2"/>
  <c r="AH145" i="2" s="1"/>
  <c r="AC145" i="2"/>
  <c r="AK145" i="2" s="1"/>
  <c r="O144" i="2"/>
  <c r="M144" i="2"/>
  <c r="M148" i="2" s="1"/>
  <c r="K144" i="2"/>
  <c r="AC144" i="2" s="1"/>
  <c r="I144" i="2"/>
  <c r="AA142" i="2"/>
  <c r="Y142" i="2"/>
  <c r="W142" i="2"/>
  <c r="S142" i="2"/>
  <c r="Q142" i="2"/>
  <c r="O142" i="2"/>
  <c r="M142" i="2"/>
  <c r="K142" i="2"/>
  <c r="I142" i="2"/>
  <c r="AM141" i="2"/>
  <c r="AL141" i="2"/>
  <c r="AI141" i="2"/>
  <c r="AH141" i="2"/>
  <c r="AG141" i="2"/>
  <c r="AE141" i="2"/>
  <c r="AD141" i="2"/>
  <c r="AC141" i="2"/>
  <c r="AK141" i="2" s="1"/>
  <c r="AM140" i="2"/>
  <c r="AK140" i="2"/>
  <c r="AE140" i="2"/>
  <c r="AI140" i="2" s="1"/>
  <c r="AD140" i="2"/>
  <c r="AL140" i="2" s="1"/>
  <c r="AC140" i="2"/>
  <c r="AG140" i="2" s="1"/>
  <c r="AK139" i="2"/>
  <c r="AI139" i="2"/>
  <c r="AI142" i="2" s="1"/>
  <c r="AG139" i="2"/>
  <c r="AG142" i="2" s="1"/>
  <c r="AE139" i="2"/>
  <c r="AM139" i="2" s="1"/>
  <c r="AM142" i="2" s="1"/>
  <c r="AD139" i="2"/>
  <c r="AC139" i="2"/>
  <c r="AC142" i="2" s="1"/>
  <c r="AE137" i="2"/>
  <c r="Y137" i="2"/>
  <c r="W137" i="2"/>
  <c r="S137" i="2"/>
  <c r="S162" i="2" s="1"/>
  <c r="Q137" i="2"/>
  <c r="Q162" i="2" s="1"/>
  <c r="O137" i="2"/>
  <c r="M137" i="2"/>
  <c r="K137" i="2"/>
  <c r="I137" i="2"/>
  <c r="AM136" i="2"/>
  <c r="AK136" i="2"/>
  <c r="AH136" i="2"/>
  <c r="AE136" i="2"/>
  <c r="AI136" i="2" s="1"/>
  <c r="AD136" i="2"/>
  <c r="AL136" i="2" s="1"/>
  <c r="AC136" i="2"/>
  <c r="AG136" i="2" s="1"/>
  <c r="AA136" i="2"/>
  <c r="AL135" i="2"/>
  <c r="AK135" i="2"/>
  <c r="AH135" i="2"/>
  <c r="AE135" i="2"/>
  <c r="AD135" i="2"/>
  <c r="AC135" i="2"/>
  <c r="AG135" i="2" s="1"/>
  <c r="AM134" i="2"/>
  <c r="AI134" i="2"/>
  <c r="AG134" i="2"/>
  <c r="AE134" i="2"/>
  <c r="AD134" i="2"/>
  <c r="AL134" i="2" s="1"/>
  <c r="AL137" i="2" s="1"/>
  <c r="AC134" i="2"/>
  <c r="AK134" i="2" s="1"/>
  <c r="AM133" i="2"/>
  <c r="AI133" i="2"/>
  <c r="AH133" i="2"/>
  <c r="AE133" i="2"/>
  <c r="AD133" i="2"/>
  <c r="AL133" i="2" s="1"/>
  <c r="AC133" i="2"/>
  <c r="AA133" i="2"/>
  <c r="AA137" i="2" s="1"/>
  <c r="AA162" i="2" s="1"/>
  <c r="AM132" i="2"/>
  <c r="AL132" i="2"/>
  <c r="AK132" i="2"/>
  <c r="AH132" i="2"/>
  <c r="AG132" i="2"/>
  <c r="AE132" i="2"/>
  <c r="AI132" i="2" s="1"/>
  <c r="AD132" i="2"/>
  <c r="AC132" i="2"/>
  <c r="AC137" i="2" s="1"/>
  <c r="S128" i="2"/>
  <c r="M128" i="2"/>
  <c r="K128" i="2"/>
  <c r="I128" i="2"/>
  <c r="AD127" i="2"/>
  <c r="AA127" i="2"/>
  <c r="Y127" i="2"/>
  <c r="W127" i="2"/>
  <c r="S127" i="2"/>
  <c r="Q127" i="2"/>
  <c r="Q128" i="2" s="1"/>
  <c r="Q343" i="2" s="1"/>
  <c r="O127" i="2"/>
  <c r="M127" i="2"/>
  <c r="K127" i="2"/>
  <c r="I127" i="2"/>
  <c r="AM126" i="2"/>
  <c r="AL126" i="2"/>
  <c r="AI126" i="2"/>
  <c r="AG126" i="2"/>
  <c r="AE126" i="2"/>
  <c r="AD126" i="2"/>
  <c r="AH126" i="2" s="1"/>
  <c r="AC126" i="2"/>
  <c r="AK126" i="2" s="1"/>
  <c r="AK125" i="2"/>
  <c r="AH125" i="2"/>
  <c r="AE125" i="2"/>
  <c r="AM125" i="2" s="1"/>
  <c r="AD125" i="2"/>
  <c r="AL125" i="2" s="1"/>
  <c r="AC125" i="2"/>
  <c r="AG125" i="2" s="1"/>
  <c r="AK124" i="2"/>
  <c r="AI124" i="2"/>
  <c r="AG124" i="2"/>
  <c r="AE124" i="2"/>
  <c r="AM124" i="2" s="1"/>
  <c r="AD124" i="2"/>
  <c r="AH124" i="2" s="1"/>
  <c r="AC124" i="2"/>
  <c r="AM123" i="2"/>
  <c r="AL123" i="2"/>
  <c r="AH123" i="2"/>
  <c r="AE123" i="2"/>
  <c r="AI123" i="2" s="1"/>
  <c r="AD123" i="2"/>
  <c r="AC123" i="2"/>
  <c r="AK123" i="2" s="1"/>
  <c r="AM122" i="2"/>
  <c r="AI122" i="2"/>
  <c r="AE122" i="2"/>
  <c r="AD122" i="2"/>
  <c r="AH122" i="2" s="1"/>
  <c r="AC122" i="2"/>
  <c r="AK122" i="2" s="1"/>
  <c r="AH121" i="2"/>
  <c r="AE121" i="2"/>
  <c r="AM121" i="2" s="1"/>
  <c r="AD121" i="2"/>
  <c r="AL121" i="2" s="1"/>
  <c r="AC121" i="2"/>
  <c r="AG121" i="2" s="1"/>
  <c r="AL120" i="2"/>
  <c r="AK120" i="2"/>
  <c r="AI120" i="2"/>
  <c r="AG120" i="2"/>
  <c r="AE120" i="2"/>
  <c r="AM120" i="2" s="1"/>
  <c r="AD120" i="2"/>
  <c r="AH120" i="2" s="1"/>
  <c r="AC120" i="2"/>
  <c r="AM119" i="2"/>
  <c r="AL119" i="2"/>
  <c r="AH119" i="2"/>
  <c r="AG119" i="2"/>
  <c r="AE119" i="2"/>
  <c r="AI119" i="2" s="1"/>
  <c r="AD119" i="2"/>
  <c r="AC119" i="2"/>
  <c r="AK119" i="2" s="1"/>
  <c r="AM117" i="2"/>
  <c r="AL117" i="2"/>
  <c r="AI117" i="2"/>
  <c r="AG117" i="2"/>
  <c r="AE117" i="2"/>
  <c r="AD117" i="2"/>
  <c r="AH117" i="2" s="1"/>
  <c r="AC117" i="2"/>
  <c r="AK117" i="2" s="1"/>
  <c r="AK116" i="2"/>
  <c r="AH116" i="2"/>
  <c r="AH127" i="2" s="1"/>
  <c r="AE116" i="2"/>
  <c r="AM116" i="2" s="1"/>
  <c r="AD116" i="2"/>
  <c r="AL116" i="2" s="1"/>
  <c r="AC116" i="2"/>
  <c r="W114" i="2"/>
  <c r="W128" i="2" s="1"/>
  <c r="S114" i="2"/>
  <c r="Q114" i="2"/>
  <c r="O114" i="2"/>
  <c r="O128" i="2" s="1"/>
  <c r="M114" i="2"/>
  <c r="K114" i="2"/>
  <c r="I114" i="2"/>
  <c r="AM113" i="2"/>
  <c r="AL113" i="2"/>
  <c r="AK113" i="2"/>
  <c r="AI113" i="2"/>
  <c r="AG113" i="2"/>
  <c r="AE113" i="2"/>
  <c r="AD113" i="2"/>
  <c r="AH113" i="2" s="1"/>
  <c r="AM112" i="2"/>
  <c r="AE112" i="2"/>
  <c r="AD112" i="2"/>
  <c r="AA112" i="2"/>
  <c r="Y112" i="2"/>
  <c r="AG111" i="2"/>
  <c r="AE111" i="2"/>
  <c r="AD111" i="2"/>
  <c r="AL111" i="2" s="1"/>
  <c r="AA111" i="2"/>
  <c r="Y111" i="2"/>
  <c r="AM110" i="2"/>
  <c r="AI110" i="2"/>
  <c r="AG110" i="2"/>
  <c r="AE110" i="2"/>
  <c r="AD110" i="2"/>
  <c r="AA110" i="2"/>
  <c r="AM109" i="2"/>
  <c r="AI109" i="2"/>
  <c r="AG109" i="2"/>
  <c r="AE109" i="2"/>
  <c r="AD109" i="2"/>
  <c r="AH109" i="2" s="1"/>
  <c r="AA109" i="2"/>
  <c r="Y109" i="2"/>
  <c r="Y114" i="2" s="1"/>
  <c r="Y128" i="2" s="1"/>
  <c r="AM108" i="2"/>
  <c r="AI108" i="2"/>
  <c r="AG108" i="2"/>
  <c r="AE108" i="2"/>
  <c r="AD108" i="2"/>
  <c r="AL108" i="2" s="1"/>
  <c r="AC108" i="2"/>
  <c r="AK108" i="2" s="1"/>
  <c r="AM107" i="2"/>
  <c r="AK107" i="2"/>
  <c r="AE107" i="2"/>
  <c r="AI107" i="2" s="1"/>
  <c r="AD107" i="2"/>
  <c r="AL107" i="2" s="1"/>
  <c r="AC107" i="2"/>
  <c r="AG107" i="2" s="1"/>
  <c r="I107" i="2"/>
  <c r="AL106" i="2"/>
  <c r="AH106" i="2"/>
  <c r="AE106" i="2"/>
  <c r="AI106" i="2" s="1"/>
  <c r="AD106" i="2"/>
  <c r="AC106" i="2"/>
  <c r="AG106" i="2" s="1"/>
  <c r="AM105" i="2"/>
  <c r="AI105" i="2"/>
  <c r="AG105" i="2"/>
  <c r="AE105" i="2"/>
  <c r="AD105" i="2"/>
  <c r="AL105" i="2" s="1"/>
  <c r="AC105" i="2"/>
  <c r="AK105" i="2" s="1"/>
  <c r="AK104" i="2"/>
  <c r="AI104" i="2"/>
  <c r="AH104" i="2"/>
  <c r="AE104" i="2"/>
  <c r="AM104" i="2" s="1"/>
  <c r="AD104" i="2"/>
  <c r="AL104" i="2" s="1"/>
  <c r="AC104" i="2"/>
  <c r="AG104" i="2" s="1"/>
  <c r="AL103" i="2"/>
  <c r="AK103" i="2"/>
  <c r="AI103" i="2"/>
  <c r="AG103" i="2"/>
  <c r="AE103" i="2"/>
  <c r="AM103" i="2" s="1"/>
  <c r="AD103" i="2"/>
  <c r="AH103" i="2" s="1"/>
  <c r="AC103" i="2"/>
  <c r="AM102" i="2"/>
  <c r="AL102" i="2"/>
  <c r="AK102" i="2"/>
  <c r="AH102" i="2"/>
  <c r="AE102" i="2"/>
  <c r="AI102" i="2" s="1"/>
  <c r="AD102" i="2"/>
  <c r="AC102" i="2"/>
  <c r="AG102" i="2" s="1"/>
  <c r="AM101" i="2"/>
  <c r="AI101" i="2"/>
  <c r="AG101" i="2"/>
  <c r="AE101" i="2"/>
  <c r="AD101" i="2"/>
  <c r="AL101" i="2" s="1"/>
  <c r="AC101" i="2"/>
  <c r="AK101" i="2" s="1"/>
  <c r="AM100" i="2"/>
  <c r="AK100" i="2"/>
  <c r="AI100" i="2"/>
  <c r="AH100" i="2"/>
  <c r="AE100" i="2"/>
  <c r="AD100" i="2"/>
  <c r="AL100" i="2" s="1"/>
  <c r="AC100" i="2"/>
  <c r="AG100" i="2" s="1"/>
  <c r="AL99" i="2"/>
  <c r="AK99" i="2"/>
  <c r="AG99" i="2"/>
  <c r="AE99" i="2"/>
  <c r="AM99" i="2" s="1"/>
  <c r="AD99" i="2"/>
  <c r="AH99" i="2" s="1"/>
  <c r="AC99" i="2"/>
  <c r="AL98" i="2"/>
  <c r="AK98" i="2"/>
  <c r="AH98" i="2"/>
  <c r="AE98" i="2"/>
  <c r="AI98" i="2" s="1"/>
  <c r="AD98" i="2"/>
  <c r="AC98" i="2"/>
  <c r="AG98" i="2" s="1"/>
  <c r="AM97" i="2"/>
  <c r="AI97" i="2"/>
  <c r="AG97" i="2"/>
  <c r="AE97" i="2"/>
  <c r="AD97" i="2"/>
  <c r="AL97" i="2" s="1"/>
  <c r="AC97" i="2"/>
  <c r="AK97" i="2" s="1"/>
  <c r="AK96" i="2"/>
  <c r="AH96" i="2"/>
  <c r="AE96" i="2"/>
  <c r="AM96" i="2" s="1"/>
  <c r="AD96" i="2"/>
  <c r="AL96" i="2" s="1"/>
  <c r="AC96" i="2"/>
  <c r="AG96" i="2" s="1"/>
  <c r="AL95" i="2"/>
  <c r="AK95" i="2"/>
  <c r="AG95" i="2"/>
  <c r="AE95" i="2"/>
  <c r="AM95" i="2" s="1"/>
  <c r="AD95" i="2"/>
  <c r="AH95" i="2" s="1"/>
  <c r="AC95" i="2"/>
  <c r="AM94" i="2"/>
  <c r="AL94" i="2"/>
  <c r="AH94" i="2"/>
  <c r="AE94" i="2"/>
  <c r="AI94" i="2" s="1"/>
  <c r="AD94" i="2"/>
  <c r="AC94" i="2"/>
  <c r="AG94" i="2" s="1"/>
  <c r="AM93" i="2"/>
  <c r="AI93" i="2"/>
  <c r="AG93" i="2"/>
  <c r="AE93" i="2"/>
  <c r="AD93" i="2"/>
  <c r="AL93" i="2" s="1"/>
  <c r="AC93" i="2"/>
  <c r="AK93" i="2" s="1"/>
  <c r="AM92" i="2"/>
  <c r="AK92" i="2"/>
  <c r="AH92" i="2"/>
  <c r="AE92" i="2"/>
  <c r="AI92" i="2" s="1"/>
  <c r="AD92" i="2"/>
  <c r="AL92" i="2" s="1"/>
  <c r="AC92" i="2"/>
  <c r="AG92" i="2" s="1"/>
  <c r="AL91" i="2"/>
  <c r="AK91" i="2"/>
  <c r="AG91" i="2"/>
  <c r="AE91" i="2"/>
  <c r="AM91" i="2" s="1"/>
  <c r="AD91" i="2"/>
  <c r="AH91" i="2" s="1"/>
  <c r="AC91" i="2"/>
  <c r="AA91" i="2"/>
  <c r="AA114" i="2" s="1"/>
  <c r="AA128" i="2" s="1"/>
  <c r="AM90" i="2"/>
  <c r="AI90" i="2"/>
  <c r="AG90" i="2"/>
  <c r="AG114" i="2" s="1"/>
  <c r="AE90" i="2"/>
  <c r="AE114" i="2" s="1"/>
  <c r="AD90" i="2"/>
  <c r="AH90" i="2" s="1"/>
  <c r="AC90" i="2"/>
  <c r="AE82" i="2"/>
  <c r="AA82" i="2"/>
  <c r="Y82" i="2"/>
  <c r="W82" i="2"/>
  <c r="S82" i="2"/>
  <c r="Q82" i="2"/>
  <c r="O82" i="2"/>
  <c r="M82" i="2"/>
  <c r="K82" i="2"/>
  <c r="I82" i="2"/>
  <c r="AM81" i="2"/>
  <c r="AL81" i="2"/>
  <c r="AK81" i="2"/>
  <c r="AH81" i="2"/>
  <c r="AH82" i="2" s="1"/>
  <c r="AE81" i="2"/>
  <c r="AI81" i="2" s="1"/>
  <c r="AD81" i="2"/>
  <c r="AC81" i="2"/>
  <c r="AG81" i="2" s="1"/>
  <c r="AM80" i="2"/>
  <c r="AI80" i="2"/>
  <c r="AE80" i="2"/>
  <c r="AD80" i="2"/>
  <c r="AH80" i="2" s="1"/>
  <c r="AC80" i="2"/>
  <c r="AK80" i="2" s="1"/>
  <c r="AK79" i="2"/>
  <c r="AK82" i="2" s="1"/>
  <c r="AK83" i="2" s="1"/>
  <c r="AK84" i="2" s="1"/>
  <c r="AH79" i="2"/>
  <c r="AE79" i="2"/>
  <c r="AD79" i="2"/>
  <c r="AL79" i="2" s="1"/>
  <c r="AC79" i="2"/>
  <c r="AG79" i="2" s="1"/>
  <c r="AA77" i="2"/>
  <c r="Y77" i="2"/>
  <c r="W77" i="2"/>
  <c r="S77" i="2"/>
  <c r="Q77" i="2"/>
  <c r="O77" i="2"/>
  <c r="M77" i="2"/>
  <c r="K77" i="2"/>
  <c r="I77" i="2"/>
  <c r="AH76" i="2"/>
  <c r="AE76" i="2"/>
  <c r="AD76" i="2"/>
  <c r="AL76" i="2" s="1"/>
  <c r="AC76" i="2"/>
  <c r="AG76" i="2" s="1"/>
  <c r="AC75" i="2"/>
  <c r="AC74" i="2"/>
  <c r="AM73" i="2"/>
  <c r="AI73" i="2"/>
  <c r="AG73" i="2"/>
  <c r="AE73" i="2"/>
  <c r="AD73" i="2"/>
  <c r="AC73" i="2"/>
  <c r="AK73" i="2" s="1"/>
  <c r="AH72" i="2"/>
  <c r="AE72" i="2"/>
  <c r="AM72" i="2" s="1"/>
  <c r="AD72" i="2"/>
  <c r="AL72" i="2" s="1"/>
  <c r="AC72" i="2"/>
  <c r="AG72" i="2" s="1"/>
  <c r="AL71" i="2"/>
  <c r="AK71" i="2"/>
  <c r="AG71" i="2"/>
  <c r="AG77" i="2" s="1"/>
  <c r="AE71" i="2"/>
  <c r="AD71" i="2"/>
  <c r="AH71" i="2" s="1"/>
  <c r="AC71" i="2"/>
  <c r="AD69" i="2"/>
  <c r="AA69" i="2"/>
  <c r="Y69" i="2"/>
  <c r="W69" i="2"/>
  <c r="S69" i="2"/>
  <c r="Q69" i="2"/>
  <c r="O69" i="2"/>
  <c r="M69" i="2"/>
  <c r="K69" i="2"/>
  <c r="I69" i="2"/>
  <c r="AL68" i="2"/>
  <c r="AK68" i="2"/>
  <c r="AG68" i="2"/>
  <c r="AE68" i="2"/>
  <c r="AM68" i="2" s="1"/>
  <c r="AD68" i="2"/>
  <c r="AH68" i="2" s="1"/>
  <c r="AC68" i="2"/>
  <c r="AM67" i="2"/>
  <c r="AL67" i="2"/>
  <c r="AH67" i="2"/>
  <c r="AH69" i="2" s="1"/>
  <c r="AE67" i="2"/>
  <c r="AD67" i="2"/>
  <c r="AC67" i="2"/>
  <c r="AE64" i="2"/>
  <c r="AA64" i="2"/>
  <c r="Y64" i="2"/>
  <c r="W64" i="2"/>
  <c r="S64" i="2"/>
  <c r="Q64" i="2"/>
  <c r="O64" i="2"/>
  <c r="M64" i="2"/>
  <c r="K64" i="2"/>
  <c r="I64" i="2"/>
  <c r="AM63" i="2"/>
  <c r="AL63" i="2"/>
  <c r="AI63" i="2"/>
  <c r="AG63" i="2"/>
  <c r="AE63" i="2"/>
  <c r="AD63" i="2"/>
  <c r="AC63" i="2"/>
  <c r="AK63" i="2" s="1"/>
  <c r="AM62" i="2"/>
  <c r="AI62" i="2"/>
  <c r="AH62" i="2"/>
  <c r="AE62" i="2"/>
  <c r="AD62" i="2"/>
  <c r="AL62" i="2" s="1"/>
  <c r="AC62" i="2"/>
  <c r="AE60" i="2"/>
  <c r="AC60" i="2"/>
  <c r="AA60" i="2"/>
  <c r="Y60" i="2"/>
  <c r="W60" i="2"/>
  <c r="S60" i="2"/>
  <c r="Q60" i="2"/>
  <c r="O60" i="2"/>
  <c r="M60" i="2"/>
  <c r="K60" i="2"/>
  <c r="AM59" i="2"/>
  <c r="AK59" i="2"/>
  <c r="AI59" i="2"/>
  <c r="AH59" i="2"/>
  <c r="AE59" i="2"/>
  <c r="AD59" i="2"/>
  <c r="AL59" i="2" s="1"/>
  <c r="AC59" i="2"/>
  <c r="AG59" i="2" s="1"/>
  <c r="AK58" i="2"/>
  <c r="AI58" i="2"/>
  <c r="AG58" i="2"/>
  <c r="AE58" i="2"/>
  <c r="AM58" i="2" s="1"/>
  <c r="AD58" i="2"/>
  <c r="AC58" i="2"/>
  <c r="I58" i="2"/>
  <c r="I60" i="2" s="1"/>
  <c r="AM57" i="2"/>
  <c r="AI57" i="2"/>
  <c r="AG57" i="2"/>
  <c r="AE57" i="2"/>
  <c r="AD57" i="2"/>
  <c r="AH57" i="2" s="1"/>
  <c r="AC57" i="2"/>
  <c r="AK57" i="2" s="1"/>
  <c r="AH56" i="2"/>
  <c r="AE56" i="2"/>
  <c r="AI56" i="2" s="1"/>
  <c r="AD56" i="2"/>
  <c r="AL56" i="2" s="1"/>
  <c r="AC56" i="2"/>
  <c r="AG56" i="2" s="1"/>
  <c r="AK55" i="2"/>
  <c r="AI55" i="2"/>
  <c r="AG55" i="2"/>
  <c r="AE55" i="2"/>
  <c r="AM55" i="2" s="1"/>
  <c r="AD55" i="2"/>
  <c r="AH55" i="2" s="1"/>
  <c r="AC55" i="2"/>
  <c r="AM54" i="2"/>
  <c r="AL54" i="2"/>
  <c r="AK54" i="2"/>
  <c r="AH54" i="2"/>
  <c r="AG54" i="2"/>
  <c r="AE54" i="2"/>
  <c r="AI54" i="2" s="1"/>
  <c r="AD54" i="2"/>
  <c r="AC54" i="2"/>
  <c r="AM53" i="2"/>
  <c r="AI53" i="2"/>
  <c r="AE53" i="2"/>
  <c r="AD53" i="2"/>
  <c r="AH53" i="2" s="1"/>
  <c r="AC53" i="2"/>
  <c r="AK53" i="2" s="1"/>
  <c r="AM52" i="2"/>
  <c r="AK52" i="2"/>
  <c r="AE52" i="2"/>
  <c r="AI52" i="2" s="1"/>
  <c r="AD52" i="2"/>
  <c r="AL52" i="2" s="1"/>
  <c r="AC52" i="2"/>
  <c r="AG52" i="2" s="1"/>
  <c r="AK51" i="2"/>
  <c r="AG51" i="2"/>
  <c r="AE51" i="2"/>
  <c r="AM51" i="2" s="1"/>
  <c r="AD51" i="2"/>
  <c r="AH51" i="2" s="1"/>
  <c r="AC51" i="2"/>
  <c r="AL50" i="2"/>
  <c r="AK50" i="2"/>
  <c r="AH50" i="2"/>
  <c r="AG50" i="2"/>
  <c r="AE50" i="2"/>
  <c r="AI50" i="2" s="1"/>
  <c r="AD50" i="2"/>
  <c r="AC50" i="2"/>
  <c r="AM49" i="2"/>
  <c r="AL49" i="2"/>
  <c r="AI49" i="2"/>
  <c r="AH49" i="2"/>
  <c r="AE49" i="2"/>
  <c r="AD49" i="2"/>
  <c r="AC49" i="2"/>
  <c r="AK49" i="2" s="1"/>
  <c r="Q47" i="2"/>
  <c r="AA46" i="2"/>
  <c r="Y46" i="2"/>
  <c r="Y47" i="2" s="1"/>
  <c r="W46" i="2"/>
  <c r="W47" i="2" s="1"/>
  <c r="S46" i="2"/>
  <c r="Q46" i="2"/>
  <c r="O46" i="2"/>
  <c r="M46" i="2"/>
  <c r="K46" i="2"/>
  <c r="I46" i="2"/>
  <c r="I47" i="2" s="1"/>
  <c r="AL45" i="2"/>
  <c r="AK45" i="2"/>
  <c r="AH45" i="2"/>
  <c r="AG45" i="2"/>
  <c r="AE45" i="2"/>
  <c r="AI45" i="2" s="1"/>
  <c r="AD45" i="2"/>
  <c r="AC45" i="2"/>
  <c r="AM44" i="2"/>
  <c r="AK44" i="2"/>
  <c r="AI44" i="2"/>
  <c r="AE44" i="2"/>
  <c r="AD44" i="2"/>
  <c r="AL44" i="2" s="1"/>
  <c r="AC44" i="2"/>
  <c r="AG44" i="2" s="1"/>
  <c r="AM43" i="2"/>
  <c r="AL43" i="2"/>
  <c r="AH43" i="2"/>
  <c r="AG43" i="2"/>
  <c r="AE43" i="2"/>
  <c r="AI43" i="2" s="1"/>
  <c r="AD43" i="2"/>
  <c r="AC43" i="2"/>
  <c r="AK43" i="2" s="1"/>
  <c r="AL42" i="2"/>
  <c r="AI42" i="2"/>
  <c r="AH42" i="2"/>
  <c r="AE42" i="2"/>
  <c r="AM42" i="2" s="1"/>
  <c r="AD42" i="2"/>
  <c r="AC42" i="2"/>
  <c r="AK42" i="2" s="1"/>
  <c r="AK41" i="2"/>
  <c r="AG41" i="2"/>
  <c r="AE41" i="2"/>
  <c r="AM41" i="2" s="1"/>
  <c r="AD41" i="2"/>
  <c r="AL41" i="2" s="1"/>
  <c r="AC41" i="2"/>
  <c r="AM40" i="2"/>
  <c r="AK40" i="2"/>
  <c r="AI40" i="2"/>
  <c r="AE40" i="2"/>
  <c r="AD40" i="2"/>
  <c r="AL40" i="2" s="1"/>
  <c r="AC40" i="2"/>
  <c r="AG40" i="2" s="1"/>
  <c r="AA38" i="2"/>
  <c r="AA47" i="2" s="1"/>
  <c r="Y38" i="2"/>
  <c r="W38" i="2"/>
  <c r="S38" i="2"/>
  <c r="Q38" i="2"/>
  <c r="O38" i="2"/>
  <c r="O47" i="2" s="1"/>
  <c r="M38" i="2"/>
  <c r="M47" i="2" s="1"/>
  <c r="K38" i="2"/>
  <c r="K47" i="2" s="1"/>
  <c r="I38" i="2"/>
  <c r="AM37" i="2"/>
  <c r="AK37" i="2"/>
  <c r="AI37" i="2"/>
  <c r="AE37" i="2"/>
  <c r="AD37" i="2"/>
  <c r="AL37" i="2" s="1"/>
  <c r="AC37" i="2"/>
  <c r="AG37" i="2" s="1"/>
  <c r="AM36" i="2"/>
  <c r="AL36" i="2"/>
  <c r="AH36" i="2"/>
  <c r="AG36" i="2"/>
  <c r="AE36" i="2"/>
  <c r="AI36" i="2" s="1"/>
  <c r="AD36" i="2"/>
  <c r="AC36" i="2"/>
  <c r="AK36" i="2" s="1"/>
  <c r="AL35" i="2"/>
  <c r="AI35" i="2"/>
  <c r="AI38" i="2" s="1"/>
  <c r="AH35" i="2"/>
  <c r="AE35" i="2"/>
  <c r="AE38" i="2" s="1"/>
  <c r="AD35" i="2"/>
  <c r="AD38" i="2" s="1"/>
  <c r="AC35" i="2"/>
  <c r="AK35" i="2" s="1"/>
  <c r="AA32" i="2"/>
  <c r="Y32" i="2"/>
  <c r="O32" i="2"/>
  <c r="AA31" i="2"/>
  <c r="Y31" i="2"/>
  <c r="W31" i="2"/>
  <c r="S31" i="2"/>
  <c r="Q31" i="2"/>
  <c r="O31" i="2"/>
  <c r="M31" i="2"/>
  <c r="K31" i="2"/>
  <c r="I31" i="2"/>
  <c r="AM30" i="2"/>
  <c r="AL30" i="2"/>
  <c r="AH30" i="2"/>
  <c r="AG30" i="2"/>
  <c r="AE30" i="2"/>
  <c r="AI30" i="2" s="1"/>
  <c r="AD30" i="2"/>
  <c r="AC30" i="2"/>
  <c r="AK30" i="2" s="1"/>
  <c r="AL29" i="2"/>
  <c r="AI29" i="2"/>
  <c r="AH29" i="2"/>
  <c r="AE29" i="2"/>
  <c r="AM29" i="2" s="1"/>
  <c r="AD29" i="2"/>
  <c r="AC29" i="2"/>
  <c r="AK29" i="2" s="1"/>
  <c r="AK28" i="2"/>
  <c r="AG28" i="2"/>
  <c r="AE28" i="2"/>
  <c r="AE31" i="2" s="1"/>
  <c r="AD28" i="2"/>
  <c r="AD31" i="2" s="1"/>
  <c r="AC28" i="2"/>
  <c r="AC31" i="2" s="1"/>
  <c r="AA26" i="2"/>
  <c r="Y26" i="2"/>
  <c r="W26" i="2"/>
  <c r="S26" i="2"/>
  <c r="Q26" i="2"/>
  <c r="Q32" i="2" s="1"/>
  <c r="O26" i="2"/>
  <c r="M26" i="2"/>
  <c r="K26" i="2"/>
  <c r="I26" i="2"/>
  <c r="AK25" i="2"/>
  <c r="AG25" i="2"/>
  <c r="AE25" i="2"/>
  <c r="AM25" i="2" s="1"/>
  <c r="AD25" i="2"/>
  <c r="AL25" i="2" s="1"/>
  <c r="AC25" i="2"/>
  <c r="AM24" i="2"/>
  <c r="AK24" i="2"/>
  <c r="AI24" i="2"/>
  <c r="AE24" i="2"/>
  <c r="AD24" i="2"/>
  <c r="AL24" i="2" s="1"/>
  <c r="AC24" i="2"/>
  <c r="AG24" i="2" s="1"/>
  <c r="AM23" i="2"/>
  <c r="AL23" i="2"/>
  <c r="AH23" i="2"/>
  <c r="AG23" i="2"/>
  <c r="AE23" i="2"/>
  <c r="AI23" i="2" s="1"/>
  <c r="AD23" i="2"/>
  <c r="AD26" i="2" s="1"/>
  <c r="AC23" i="2"/>
  <c r="AK23" i="2" s="1"/>
  <c r="AA21" i="2"/>
  <c r="Y21" i="2"/>
  <c r="W21" i="2"/>
  <c r="W32" i="2" s="1"/>
  <c r="S21" i="2"/>
  <c r="S32" i="2" s="1"/>
  <c r="Q21" i="2"/>
  <c r="O21" i="2"/>
  <c r="K21" i="2"/>
  <c r="K32" i="2" s="1"/>
  <c r="I21" i="2"/>
  <c r="I32" i="2" s="1"/>
  <c r="AM20" i="2"/>
  <c r="AL20" i="2"/>
  <c r="AH20" i="2"/>
  <c r="AG20" i="2"/>
  <c r="AE20" i="2"/>
  <c r="AI20" i="2" s="1"/>
  <c r="AD20" i="2"/>
  <c r="AC20" i="2"/>
  <c r="AK20" i="2" s="1"/>
  <c r="M19" i="2"/>
  <c r="AD19" i="2" s="1"/>
  <c r="AL18" i="2"/>
  <c r="AH18" i="2"/>
  <c r="AG18" i="2"/>
  <c r="AE18" i="2"/>
  <c r="AD18" i="2"/>
  <c r="AC18" i="2"/>
  <c r="AK18" i="2" s="1"/>
  <c r="AL17" i="2"/>
  <c r="AE17" i="2"/>
  <c r="AM17" i="2" s="1"/>
  <c r="AD17" i="2"/>
  <c r="AH17" i="2" s="1"/>
  <c r="AC17" i="2"/>
  <c r="AK17" i="2" s="1"/>
  <c r="AM16" i="2"/>
  <c r="AK16" i="2"/>
  <c r="AI16" i="2"/>
  <c r="AH16" i="2"/>
  <c r="AG16" i="2"/>
  <c r="AE16" i="2"/>
  <c r="AD16" i="2"/>
  <c r="AL16" i="2" s="1"/>
  <c r="AC16" i="2"/>
  <c r="AA13" i="2"/>
  <c r="Y13" i="2"/>
  <c r="W13" i="2"/>
  <c r="K13" i="2"/>
  <c r="I13" i="2"/>
  <c r="AA12" i="2"/>
  <c r="Y12" i="2"/>
  <c r="W12" i="2"/>
  <c r="S12" i="2"/>
  <c r="S13" i="2" s="1"/>
  <c r="Q12" i="2"/>
  <c r="Q13" i="2" s="1"/>
  <c r="Q83" i="2" s="1"/>
  <c r="Q84" i="2" s="1"/>
  <c r="Q344" i="2" s="1"/>
  <c r="Q345" i="2" s="1"/>
  <c r="O12" i="2"/>
  <c r="O13" i="2" s="1"/>
  <c r="M12" i="2"/>
  <c r="M13" i="2" s="1"/>
  <c r="K12" i="2"/>
  <c r="I12" i="2"/>
  <c r="AL11" i="2"/>
  <c r="AE11" i="2"/>
  <c r="AM11" i="2" s="1"/>
  <c r="AD11" i="2"/>
  <c r="AH11" i="2" s="1"/>
  <c r="AC11" i="2"/>
  <c r="AK11" i="2" s="1"/>
  <c r="AM10" i="2"/>
  <c r="AK10" i="2"/>
  <c r="AI10" i="2"/>
  <c r="AH10" i="2"/>
  <c r="AG10" i="2"/>
  <c r="AE10" i="2"/>
  <c r="AD10" i="2"/>
  <c r="AL10" i="2" s="1"/>
  <c r="AC10" i="2"/>
  <c r="AM9" i="2"/>
  <c r="AK9" i="2"/>
  <c r="AI9" i="2"/>
  <c r="AE9" i="2"/>
  <c r="AE12" i="2" s="1"/>
  <c r="AE13" i="2" s="1"/>
  <c r="AD9" i="2"/>
  <c r="AL9" i="2" s="1"/>
  <c r="AC9" i="2"/>
  <c r="AG9" i="2" s="1"/>
  <c r="AC8" i="2"/>
  <c r="AM7" i="2"/>
  <c r="AK7" i="2"/>
  <c r="AI7" i="2"/>
  <c r="AH7" i="2"/>
  <c r="AG7" i="2"/>
  <c r="AE7" i="2"/>
  <c r="AD7" i="2"/>
  <c r="AL7" i="2" s="1"/>
  <c r="AC7" i="2"/>
  <c r="AA210" i="2" l="1"/>
  <c r="AH12" i="2"/>
  <c r="AH13" i="2" s="1"/>
  <c r="AH19" i="2"/>
  <c r="AL19" i="2"/>
  <c r="AD21" i="2"/>
  <c r="AD32" i="2" s="1"/>
  <c r="I83" i="2"/>
  <c r="I84" i="2" s="1"/>
  <c r="K83" i="2"/>
  <c r="K84" i="2" s="1"/>
  <c r="AD47" i="2"/>
  <c r="AH21" i="2"/>
  <c r="AE47" i="2"/>
  <c r="AK144" i="2"/>
  <c r="AK148" i="2" s="1"/>
  <c r="AG144" i="2"/>
  <c r="AG148" i="2" s="1"/>
  <c r="AC148" i="2"/>
  <c r="AC162" i="2" s="1"/>
  <c r="Y83" i="2"/>
  <c r="Y84" i="2" s="1"/>
  <c r="O83" i="2"/>
  <c r="O84" i="2" s="1"/>
  <c r="AG26" i="2"/>
  <c r="AH28" i="2"/>
  <c r="AH31" i="2" s="1"/>
  <c r="AC69" i="2"/>
  <c r="AG67" i="2"/>
  <c r="AG69" i="2" s="1"/>
  <c r="AL159" i="2"/>
  <c r="AH159" i="2"/>
  <c r="AM191" i="2"/>
  <c r="AI191" i="2"/>
  <c r="AG11" i="2"/>
  <c r="AG12" i="2" s="1"/>
  <c r="AG13" i="2" s="1"/>
  <c r="AG17" i="2"/>
  <c r="M21" i="2"/>
  <c r="M32" i="2" s="1"/>
  <c r="M83" i="2" s="1"/>
  <c r="M84" i="2" s="1"/>
  <c r="M344" i="2" s="1"/>
  <c r="M345" i="2" s="1"/>
  <c r="AI25" i="2"/>
  <c r="AI26" i="2" s="1"/>
  <c r="AI28" i="2"/>
  <c r="AI31" i="2" s="1"/>
  <c r="AM35" i="2"/>
  <c r="S47" i="2"/>
  <c r="S83" i="2" s="1"/>
  <c r="S84" i="2" s="1"/>
  <c r="AI41" i="2"/>
  <c r="AI46" i="2" s="1"/>
  <c r="AI47" i="2" s="1"/>
  <c r="AC46" i="2"/>
  <c r="AI51" i="2"/>
  <c r="AK56" i="2"/>
  <c r="AI72" i="2"/>
  <c r="AG80" i="2"/>
  <c r="AG82" i="2" s="1"/>
  <c r="AL90" i="2"/>
  <c r="AK106" i="2"/>
  <c r="AL109" i="2"/>
  <c r="AG122" i="2"/>
  <c r="AH173" i="2"/>
  <c r="AE180" i="2"/>
  <c r="AM174" i="2"/>
  <c r="AD186" i="2"/>
  <c r="AL182" i="2"/>
  <c r="AL186" i="2" s="1"/>
  <c r="AH182" i="2"/>
  <c r="AH186" i="2" s="1"/>
  <c r="AM202" i="2"/>
  <c r="AM209" i="2" s="1"/>
  <c r="AI202" i="2"/>
  <c r="AI18" i="2"/>
  <c r="AD60" i="2"/>
  <c r="AH58" i="2"/>
  <c r="AH60" i="2" s="1"/>
  <c r="AC173" i="2"/>
  <c r="AK166" i="2"/>
  <c r="AC26" i="2"/>
  <c r="AD46" i="2"/>
  <c r="AG53" i="2"/>
  <c r="AM56" i="2"/>
  <c r="AG60" i="2"/>
  <c r="AE69" i="2"/>
  <c r="AI67" i="2"/>
  <c r="AK72" i="2"/>
  <c r="AM76" i="2"/>
  <c r="AI76" i="2"/>
  <c r="AC77" i="2"/>
  <c r="AI99" i="2"/>
  <c r="AH111" i="2"/>
  <c r="AC127" i="2"/>
  <c r="AG116" i="2"/>
  <c r="AK133" i="2"/>
  <c r="AG133" i="2"/>
  <c r="AI171" i="2"/>
  <c r="AL200" i="2"/>
  <c r="AL209" i="2" s="1"/>
  <c r="AH200" i="2"/>
  <c r="AD209" i="2"/>
  <c r="AH25" i="2"/>
  <c r="AH41" i="2"/>
  <c r="AC64" i="2"/>
  <c r="AG62" i="2"/>
  <c r="AM111" i="2"/>
  <c r="AI111" i="2"/>
  <c r="AI11" i="2"/>
  <c r="AI12" i="2" s="1"/>
  <c r="AI13" i="2" s="1"/>
  <c r="AI17" i="2"/>
  <c r="AM18" i="2"/>
  <c r="AH24" i="2"/>
  <c r="AH26" i="2" s="1"/>
  <c r="AL28" i="2"/>
  <c r="AH37" i="2"/>
  <c r="AH38" i="2" s="1"/>
  <c r="AH40" i="2"/>
  <c r="AH44" i="2"/>
  <c r="AM45" i="2"/>
  <c r="AE46" i="2"/>
  <c r="AL51" i="2"/>
  <c r="AI60" i="2"/>
  <c r="AL80" i="2"/>
  <c r="AM106" i="2"/>
  <c r="AH108" i="2"/>
  <c r="AL112" i="2"/>
  <c r="AL122" i="2"/>
  <c r="AL127" i="2" s="1"/>
  <c r="I162" i="2"/>
  <c r="I343" i="2" s="1"/>
  <c r="AL139" i="2"/>
  <c r="AL142" i="2" s="1"/>
  <c r="AH139" i="2"/>
  <c r="AG166" i="2"/>
  <c r="AI174" i="2"/>
  <c r="AI180" i="2" s="1"/>
  <c r="AM176" i="2"/>
  <c r="AI176" i="2"/>
  <c r="AH178" i="2"/>
  <c r="AK268" i="2"/>
  <c r="AG268" i="2"/>
  <c r="AC12" i="2"/>
  <c r="AC13" i="2" s="1"/>
  <c r="AM28" i="2"/>
  <c r="AL53" i="2"/>
  <c r="AK67" i="2"/>
  <c r="AE77" i="2"/>
  <c r="AM71" i="2"/>
  <c r="AK76" i="2"/>
  <c r="AK94" i="2"/>
  <c r="AL110" i="2"/>
  <c r="AH110" i="2"/>
  <c r="AM127" i="2"/>
  <c r="AM135" i="2"/>
  <c r="AI135" i="2"/>
  <c r="AI137" i="2" s="1"/>
  <c r="AK156" i="2"/>
  <c r="AG156" i="2"/>
  <c r="AG161" i="2" s="1"/>
  <c r="AK168" i="2"/>
  <c r="AG168" i="2"/>
  <c r="AK62" i="2"/>
  <c r="AL73" i="2"/>
  <c r="AH73" i="2"/>
  <c r="AH77" i="2" s="1"/>
  <c r="M162" i="2"/>
  <c r="AK160" i="2"/>
  <c r="AG160" i="2"/>
  <c r="AA83" i="2"/>
  <c r="AA84" i="2" s="1"/>
  <c r="AI71" i="2"/>
  <c r="AI77" i="2" s="1"/>
  <c r="AL82" i="2"/>
  <c r="AL83" i="2" s="1"/>
  <c r="AL84" i="2" s="1"/>
  <c r="AI96" i="2"/>
  <c r="AM173" i="2"/>
  <c r="AM170" i="2"/>
  <c r="AI170" i="2"/>
  <c r="AI173" i="2" s="1"/>
  <c r="AC180" i="2"/>
  <c r="AK175" i="2"/>
  <c r="AG175" i="2"/>
  <c r="AL227" i="2"/>
  <c r="AH227" i="2"/>
  <c r="AM336" i="2"/>
  <c r="AI336" i="2"/>
  <c r="AE26" i="2"/>
  <c r="AD12" i="2"/>
  <c r="AD13" i="2" s="1"/>
  <c r="AC19" i="2"/>
  <c r="AC21" i="2" s="1"/>
  <c r="AC32" i="2" s="1"/>
  <c r="AE19" i="2"/>
  <c r="AE21" i="2" s="1"/>
  <c r="AE32" i="2" s="1"/>
  <c r="AE83" i="2" s="1"/>
  <c r="AE84" i="2" s="1"/>
  <c r="AH52" i="2"/>
  <c r="AM79" i="2"/>
  <c r="AM82" i="2" s="1"/>
  <c r="AM83" i="2" s="1"/>
  <c r="AM84" i="2" s="1"/>
  <c r="AI79" i="2"/>
  <c r="AI82" i="2" s="1"/>
  <c r="AL124" i="2"/>
  <c r="AM137" i="2"/>
  <c r="AK142" i="2"/>
  <c r="AD142" i="2"/>
  <c r="AL147" i="2"/>
  <c r="AH147" i="2"/>
  <c r="AC161" i="2"/>
  <c r="AK153" i="2"/>
  <c r="AK161" i="2" s="1"/>
  <c r="AL177" i="2"/>
  <c r="AL180" i="2" s="1"/>
  <c r="AH177" i="2"/>
  <c r="AK215" i="2"/>
  <c r="AG215" i="2"/>
  <c r="AG220" i="2" s="1"/>
  <c r="AG245" i="2"/>
  <c r="W83" i="2"/>
  <c r="W84" i="2" s="1"/>
  <c r="AC38" i="2"/>
  <c r="AC47" i="2" s="1"/>
  <c r="AL58" i="2"/>
  <c r="AH9" i="2"/>
  <c r="AG29" i="2"/>
  <c r="AG31" i="2" s="1"/>
  <c r="AG35" i="2"/>
  <c r="AG38" i="2" s="1"/>
  <c r="AG42" i="2"/>
  <c r="AG46" i="2" s="1"/>
  <c r="AG49" i="2"/>
  <c r="AM50" i="2"/>
  <c r="AL55" i="2"/>
  <c r="AL57" i="2"/>
  <c r="AD64" i="2"/>
  <c r="AH63" i="2"/>
  <c r="AC114" i="2"/>
  <c r="AC128" i="2" s="1"/>
  <c r="AK90" i="2"/>
  <c r="AK114" i="2" s="1"/>
  <c r="AI91" i="2"/>
  <c r="AI114" i="2" s="1"/>
  <c r="AH107" i="2"/>
  <c r="AG123" i="2"/>
  <c r="AG137" i="2"/>
  <c r="AD161" i="2"/>
  <c r="AM196" i="2"/>
  <c r="AM197" i="2" s="1"/>
  <c r="AI196" i="2"/>
  <c r="AI321" i="2"/>
  <c r="AM98" i="2"/>
  <c r="AM114" i="2" s="1"/>
  <c r="AM128" i="2" s="1"/>
  <c r="W343" i="2"/>
  <c r="AK121" i="2"/>
  <c r="AK127" i="2" s="1"/>
  <c r="AH137" i="2"/>
  <c r="O162" i="2"/>
  <c r="O343" i="2" s="1"/>
  <c r="AM161" i="2"/>
  <c r="AG206" i="2"/>
  <c r="AK206" i="2"/>
  <c r="AC82" i="2"/>
  <c r="AD114" i="2"/>
  <c r="AD128" i="2" s="1"/>
  <c r="AK137" i="2"/>
  <c r="AK162" i="2" s="1"/>
  <c r="Y162" i="2"/>
  <c r="Y343" i="2" s="1"/>
  <c r="AE144" i="2"/>
  <c r="K148" i="2"/>
  <c r="K162" i="2" s="1"/>
  <c r="K343" i="2" s="1"/>
  <c r="AD144" i="2"/>
  <c r="AD210" i="2"/>
  <c r="AI68" i="2"/>
  <c r="AI95" i="2"/>
  <c r="AH140" i="2"/>
  <c r="AL155" i="2"/>
  <c r="AL161" i="2" s="1"/>
  <c r="AH155" i="2"/>
  <c r="AM222" i="2"/>
  <c r="AM224" i="2" s="1"/>
  <c r="AE224" i="2"/>
  <c r="AI222" i="2"/>
  <c r="AI224" i="2" s="1"/>
  <c r="AD82" i="2"/>
  <c r="AE142" i="2"/>
  <c r="AH153" i="2"/>
  <c r="AH161" i="2" s="1"/>
  <c r="AE173" i="2"/>
  <c r="AK180" i="2"/>
  <c r="AG183" i="2"/>
  <c r="AG186" i="2" s="1"/>
  <c r="AG196" i="2"/>
  <c r="AM200" i="2"/>
  <c r="AI200" i="2"/>
  <c r="AI209" i="2" s="1"/>
  <c r="AD222" i="2"/>
  <c r="AH245" i="2"/>
  <c r="AE285" i="2"/>
  <c r="AM284" i="2"/>
  <c r="AM285" i="2" s="1"/>
  <c r="AI284" i="2"/>
  <c r="AI285" i="2" s="1"/>
  <c r="AL298" i="2"/>
  <c r="AL303" i="2" s="1"/>
  <c r="AD303" i="2"/>
  <c r="AH298" i="2"/>
  <c r="AH303" i="2" s="1"/>
  <c r="AM326" i="2"/>
  <c r="AI326" i="2"/>
  <c r="AK204" i="2"/>
  <c r="AG204" i="2"/>
  <c r="S235" i="2"/>
  <c r="S343" i="2" s="1"/>
  <c r="AI245" i="2"/>
  <c r="AA278" i="2"/>
  <c r="AA281" i="2"/>
  <c r="AI303" i="2"/>
  <c r="AI312" i="2" s="1"/>
  <c r="AD137" i="2"/>
  <c r="K210" i="2"/>
  <c r="AK186" i="2"/>
  <c r="AE192" i="2"/>
  <c r="AM188" i="2"/>
  <c r="AM192" i="2" s="1"/>
  <c r="AK194" i="2"/>
  <c r="AK197" i="2" s="1"/>
  <c r="AC197" i="2"/>
  <c r="AG194" i="2"/>
  <c r="AL204" i="2"/>
  <c r="AH204" i="2"/>
  <c r="AK208" i="2"/>
  <c r="AG208" i="2"/>
  <c r="AI233" i="2"/>
  <c r="AM233" i="2"/>
  <c r="AK259" i="2"/>
  <c r="AK262" i="2" s="1"/>
  <c r="AG259" i="2"/>
  <c r="AG262" i="2" s="1"/>
  <c r="AC262" i="2"/>
  <c r="AI293" i="2"/>
  <c r="AM303" i="2"/>
  <c r="AM318" i="2"/>
  <c r="AM321" i="2" s="1"/>
  <c r="AI318" i="2"/>
  <c r="AL327" i="2"/>
  <c r="AI331" i="2"/>
  <c r="AK190" i="2"/>
  <c r="AG190" i="2"/>
  <c r="AD197" i="2"/>
  <c r="AH194" i="2"/>
  <c r="AH197" i="2" s="1"/>
  <c r="AC209" i="2"/>
  <c r="AG199" i="2"/>
  <c r="AG209" i="2" s="1"/>
  <c r="Y235" i="2"/>
  <c r="AM241" i="2"/>
  <c r="AM245" i="2" s="1"/>
  <c r="AM273" i="2" s="1"/>
  <c r="AI241" i="2"/>
  <c r="AL259" i="2"/>
  <c r="AL262" i="2" s="1"/>
  <c r="AH259" i="2"/>
  <c r="AH262" i="2" s="1"/>
  <c r="AD262" i="2"/>
  <c r="AH93" i="2"/>
  <c r="AH114" i="2" s="1"/>
  <c r="AH128" i="2" s="1"/>
  <c r="AH97" i="2"/>
  <c r="AH101" i="2"/>
  <c r="AH105" i="2"/>
  <c r="AI116" i="2"/>
  <c r="AI121" i="2"/>
  <c r="AI125" i="2"/>
  <c r="AE127" i="2"/>
  <c r="AE128" i="2" s="1"/>
  <c r="AH134" i="2"/>
  <c r="AI156" i="2"/>
  <c r="AI161" i="2" s="1"/>
  <c r="AI160" i="2"/>
  <c r="AH169" i="2"/>
  <c r="O210" i="2"/>
  <c r="AG176" i="2"/>
  <c r="AI188" i="2"/>
  <c r="AI192" i="2" s="1"/>
  <c r="AE197" i="2"/>
  <c r="AM204" i="2"/>
  <c r="AK272" i="2"/>
  <c r="AE294" i="2"/>
  <c r="AM293" i="2"/>
  <c r="AE327" i="2"/>
  <c r="AI197" i="2"/>
  <c r="AM230" i="2"/>
  <c r="AI230" i="2"/>
  <c r="AE234" i="2"/>
  <c r="AG257" i="2"/>
  <c r="AL307" i="2"/>
  <c r="AH307" i="2"/>
  <c r="AH311" i="2" s="1"/>
  <c r="AG327" i="2"/>
  <c r="AM335" i="2"/>
  <c r="AI335" i="2"/>
  <c r="AD77" i="2"/>
  <c r="AL188" i="2"/>
  <c r="AL192" i="2" s="1"/>
  <c r="AL194" i="2"/>
  <c r="AH201" i="2"/>
  <c r="AL208" i="2"/>
  <c r="AE209" i="2"/>
  <c r="AC220" i="2"/>
  <c r="AH223" i="2"/>
  <c r="AK228" i="2"/>
  <c r="AG234" i="2"/>
  <c r="AK240" i="2"/>
  <c r="AK245" i="2" s="1"/>
  <c r="AG240" i="2"/>
  <c r="AE251" i="2"/>
  <c r="AM247" i="2"/>
  <c r="AM251" i="2" s="1"/>
  <c r="AI247" i="2"/>
  <c r="AI251" i="2" s="1"/>
  <c r="I273" i="2"/>
  <c r="AH257" i="2"/>
  <c r="AM262" i="2"/>
  <c r="AI311" i="2"/>
  <c r="K342" i="2"/>
  <c r="AH327" i="2"/>
  <c r="AE161" i="2"/>
  <c r="AM186" i="2"/>
  <c r="AK199" i="2"/>
  <c r="AK209" i="2" s="1"/>
  <c r="AD220" i="2"/>
  <c r="AL214" i="2"/>
  <c r="AL220" i="2" s="1"/>
  <c r="AH214" i="2"/>
  <c r="AH220" i="2" s="1"/>
  <c r="AL226" i="2"/>
  <c r="AL228" i="2" s="1"/>
  <c r="AD228" i="2"/>
  <c r="AH226" i="2"/>
  <c r="AH228" i="2" s="1"/>
  <c r="AK255" i="2"/>
  <c r="AK257" i="2" s="1"/>
  <c r="AG255" i="2"/>
  <c r="AL282" i="2"/>
  <c r="AL289" i="2"/>
  <c r="AL293" i="2" s="1"/>
  <c r="AH289" i="2"/>
  <c r="AK311" i="2"/>
  <c r="M342" i="2"/>
  <c r="AI327" i="2"/>
  <c r="AE331" i="2"/>
  <c r="AM330" i="2"/>
  <c r="AM331" i="2" s="1"/>
  <c r="AI330" i="2"/>
  <c r="AM214" i="2"/>
  <c r="AM220" i="2" s="1"/>
  <c r="AI214" i="2"/>
  <c r="AI220" i="2" s="1"/>
  <c r="AM226" i="2"/>
  <c r="AM228" i="2" s="1"/>
  <c r="AE228" i="2"/>
  <c r="AE235" i="2" s="1"/>
  <c r="AI226" i="2"/>
  <c r="AI228" i="2" s="1"/>
  <c r="AG231" i="2"/>
  <c r="AK231" i="2"/>
  <c r="AK234" i="2" s="1"/>
  <c r="AL255" i="2"/>
  <c r="AH255" i="2"/>
  <c r="AH272" i="2"/>
  <c r="AM269" i="2"/>
  <c r="AM272" i="2" s="1"/>
  <c r="AI269" i="2"/>
  <c r="AE272" i="2"/>
  <c r="AM294" i="2"/>
  <c r="AL311" i="2"/>
  <c r="AG180" i="2"/>
  <c r="K235" i="2"/>
  <c r="AC222" i="2"/>
  <c r="K224" i="2"/>
  <c r="AL257" i="2"/>
  <c r="AK278" i="2"/>
  <c r="AK282" i="2" s="1"/>
  <c r="AK294" i="2" s="1"/>
  <c r="AG278" i="2"/>
  <c r="AG282" i="2" s="1"/>
  <c r="AH174" i="2"/>
  <c r="AH180" i="2" s="1"/>
  <c r="AL196" i="2"/>
  <c r="AH196" i="2"/>
  <c r="AI205" i="2"/>
  <c r="AI231" i="2"/>
  <c r="AE245" i="2"/>
  <c r="AC272" i="2"/>
  <c r="AL278" i="2"/>
  <c r="AH278" i="2"/>
  <c r="AH282" i="2" s="1"/>
  <c r="AH294" i="2" s="1"/>
  <c r="S342" i="2"/>
  <c r="AM340" i="2"/>
  <c r="AI340" i="2"/>
  <c r="AA217" i="2"/>
  <c r="AA220" i="2" s="1"/>
  <c r="AA235" i="2" s="1"/>
  <c r="AH230" i="2"/>
  <c r="AH241" i="2"/>
  <c r="AL242" i="2"/>
  <c r="AL245" i="2" s="1"/>
  <c r="AL244" i="2"/>
  <c r="AH247" i="2"/>
  <c r="AH251" i="2" s="1"/>
  <c r="AK248" i="2"/>
  <c r="AM253" i="2"/>
  <c r="AM257" i="2" s="1"/>
  <c r="AI256" i="2"/>
  <c r="AI257" i="2" s="1"/>
  <c r="AI260" i="2"/>
  <c r="AI262" i="2" s="1"/>
  <c r="AM261" i="2"/>
  <c r="AI264" i="2"/>
  <c r="AL266" i="2"/>
  <c r="AL272" i="2" s="1"/>
  <c r="AH269" i="2"/>
  <c r="AL270" i="2"/>
  <c r="AI279" i="2"/>
  <c r="AI282" i="2" s="1"/>
  <c r="AI294" i="2" s="1"/>
  <c r="AC282" i="2"/>
  <c r="AC294" i="2" s="1"/>
  <c r="AG284" i="2"/>
  <c r="AG285" i="2" s="1"/>
  <c r="AI290" i="2"/>
  <c r="AD293" i="2"/>
  <c r="AI300" i="2"/>
  <c r="AM305" i="2"/>
  <c r="AM311" i="2" s="1"/>
  <c r="AH309" i="2"/>
  <c r="AD311" i="2"/>
  <c r="AG318" i="2"/>
  <c r="AG321" i="2" s="1"/>
  <c r="AK323" i="2"/>
  <c r="AK327" i="2" s="1"/>
  <c r="AG326" i="2"/>
  <c r="AG330" i="2"/>
  <c r="AC334" i="2"/>
  <c r="AG335" i="2"/>
  <c r="AG336" i="2"/>
  <c r="AG340" i="2"/>
  <c r="AC257" i="2"/>
  <c r="AC273" i="2" s="1"/>
  <c r="AD282" i="2"/>
  <c r="AD294" i="2" s="1"/>
  <c r="AH284" i="2"/>
  <c r="AH285" i="2" s="1"/>
  <c r="AG289" i="2"/>
  <c r="AG293" i="2" s="1"/>
  <c r="M303" i="2"/>
  <c r="M312" i="2" s="1"/>
  <c r="M343" i="2" s="1"/>
  <c r="AG307" i="2"/>
  <c r="AG311" i="2" s="1"/>
  <c r="AI309" i="2"/>
  <c r="AH318" i="2"/>
  <c r="AH326" i="2"/>
  <c r="AH330" i="2"/>
  <c r="AD334" i="2"/>
  <c r="AH335" i="2"/>
  <c r="AH336" i="2"/>
  <c r="AH340" i="2"/>
  <c r="AK214" i="2"/>
  <c r="AK220" i="2" s="1"/>
  <c r="AK247" i="2"/>
  <c r="AK251" i="2" s="1"/>
  <c r="AD257" i="2"/>
  <c r="AD273" i="2" s="1"/>
  <c r="AM323" i="2"/>
  <c r="AE334" i="2"/>
  <c r="AL247" i="2"/>
  <c r="AL251" i="2" s="1"/>
  <c r="AE257" i="2"/>
  <c r="AK284" i="2"/>
  <c r="AK285" i="2" s="1"/>
  <c r="AC298" i="2"/>
  <c r="AK318" i="2"/>
  <c r="AK321" i="2" s="1"/>
  <c r="AG329" i="2"/>
  <c r="AG333" i="2"/>
  <c r="AC188" i="2"/>
  <c r="O234" i="2"/>
  <c r="O235" i="2" s="1"/>
  <c r="AL284" i="2"/>
  <c r="AL285" i="2" s="1"/>
  <c r="AH287" i="2"/>
  <c r="AH293" i="2" s="1"/>
  <c r="AG306" i="2"/>
  <c r="AH317" i="2"/>
  <c r="AH321" i="2" s="1"/>
  <c r="AL318" i="2"/>
  <c r="AL321" i="2" s="1"/>
  <c r="AH325" i="2"/>
  <c r="AH329" i="2"/>
  <c r="AD331" i="2"/>
  <c r="AH333" i="2"/>
  <c r="AH339" i="2"/>
  <c r="AD231" i="2"/>
  <c r="AG266" i="2"/>
  <c r="AG272" i="2" s="1"/>
  <c r="AH266" i="2"/>
  <c r="AD342" i="2" l="1"/>
  <c r="AI128" i="2"/>
  <c r="AK342" i="2"/>
  <c r="AH47" i="2"/>
  <c r="AL273" i="2"/>
  <c r="AG342" i="2"/>
  <c r="AG294" i="2"/>
  <c r="S344" i="2"/>
  <c r="S345" i="2" s="1"/>
  <c r="AL210" i="2"/>
  <c r="AI210" i="2"/>
  <c r="AK273" i="2"/>
  <c r="AM162" i="2"/>
  <c r="AG331" i="2"/>
  <c r="AG127" i="2"/>
  <c r="AG128" i="2" s="1"/>
  <c r="AH32" i="2"/>
  <c r="AH83" i="2" s="1"/>
  <c r="AH84" i="2" s="1"/>
  <c r="AG173" i="2"/>
  <c r="AG341" i="2"/>
  <c r="AG273" i="2"/>
  <c r="AH331" i="2"/>
  <c r="AK298" i="2"/>
  <c r="AK303" i="2" s="1"/>
  <c r="AK312" i="2" s="1"/>
  <c r="AC303" i="2"/>
  <c r="AC312" i="2" s="1"/>
  <c r="AG298" i="2"/>
  <c r="AG303" i="2" s="1"/>
  <c r="AG312" i="2" s="1"/>
  <c r="AL334" i="2"/>
  <c r="AL341" i="2" s="1"/>
  <c r="AL342" i="2" s="1"/>
  <c r="AH334" i="2"/>
  <c r="AH341" i="2" s="1"/>
  <c r="AH142" i="2"/>
  <c r="AI273" i="2"/>
  <c r="AH273" i="2"/>
  <c r="AG162" i="2"/>
  <c r="AM180" i="2"/>
  <c r="AI342" i="2"/>
  <c r="AK334" i="2"/>
  <c r="AK341" i="2" s="1"/>
  <c r="AG334" i="2"/>
  <c r="AE273" i="2"/>
  <c r="AK222" i="2"/>
  <c r="AK224" i="2" s="1"/>
  <c r="AK235" i="2" s="1"/>
  <c r="AC224" i="2"/>
  <c r="AC235" i="2" s="1"/>
  <c r="AG222" i="2"/>
  <c r="AG224" i="2" s="1"/>
  <c r="AG235" i="2" s="1"/>
  <c r="AL222" i="2"/>
  <c r="AL224" i="2" s="1"/>
  <c r="AD224" i="2"/>
  <c r="AD235" i="2" s="1"/>
  <c r="AD343" i="2" s="1"/>
  <c r="AH222" i="2"/>
  <c r="AH224" i="2" s="1"/>
  <c r="AD148" i="2"/>
  <c r="AL144" i="2"/>
  <c r="AL148" i="2" s="1"/>
  <c r="AL162" i="2" s="1"/>
  <c r="AH144" i="2"/>
  <c r="AH148" i="2" s="1"/>
  <c r="AG47" i="2"/>
  <c r="AH46" i="2"/>
  <c r="AK173" i="2"/>
  <c r="AK210" i="2" s="1"/>
  <c r="Y344" i="2"/>
  <c r="Y345" i="2" s="1"/>
  <c r="AL235" i="2"/>
  <c r="AD162" i="2"/>
  <c r="AH210" i="2"/>
  <c r="AC83" i="2"/>
  <c r="AC84" i="2" s="1"/>
  <c r="AM334" i="2"/>
  <c r="AM341" i="2" s="1"/>
  <c r="AE341" i="2"/>
  <c r="AE342" i="2" s="1"/>
  <c r="AI334" i="2"/>
  <c r="AI341" i="2" s="1"/>
  <c r="AE148" i="2"/>
  <c r="AE162" i="2" s="1"/>
  <c r="AE343" i="2" s="1"/>
  <c r="AE344" i="2" s="1"/>
  <c r="AE345" i="2" s="1"/>
  <c r="AM144" i="2"/>
  <c r="AM148" i="2" s="1"/>
  <c r="AI144" i="2"/>
  <c r="AI148" i="2" s="1"/>
  <c r="AI162" i="2" s="1"/>
  <c r="AI19" i="2"/>
  <c r="AI21" i="2" s="1"/>
  <c r="AI32" i="2" s="1"/>
  <c r="AI83" i="2" s="1"/>
  <c r="AI84" i="2" s="1"/>
  <c r="AM19" i="2"/>
  <c r="K344" i="2"/>
  <c r="K345" i="2" s="1"/>
  <c r="AH162" i="2"/>
  <c r="AM327" i="2"/>
  <c r="AM342" i="2" s="1"/>
  <c r="AH234" i="2"/>
  <c r="AH235" i="2" s="1"/>
  <c r="AL197" i="2"/>
  <c r="AI127" i="2"/>
  <c r="AK128" i="2"/>
  <c r="AH209" i="2"/>
  <c r="I344" i="2"/>
  <c r="I345" i="2" s="1"/>
  <c r="AH312" i="2"/>
  <c r="AK19" i="2"/>
  <c r="AG19" i="2"/>
  <c r="AG21" i="2" s="1"/>
  <c r="AG32" i="2" s="1"/>
  <c r="AG83" i="2" s="1"/>
  <c r="AG84" i="2" s="1"/>
  <c r="AL231" i="2"/>
  <c r="AL234" i="2" s="1"/>
  <c r="AH231" i="2"/>
  <c r="AD234" i="2"/>
  <c r="AI272" i="2"/>
  <c r="AL294" i="2"/>
  <c r="AI234" i="2"/>
  <c r="AD312" i="2"/>
  <c r="W344" i="2"/>
  <c r="W345" i="2" s="1"/>
  <c r="AD83" i="2"/>
  <c r="AD84" i="2" s="1"/>
  <c r="AI69" i="2"/>
  <c r="AM210" i="2"/>
  <c r="AD341" i="2"/>
  <c r="AG188" i="2"/>
  <c r="AG192" i="2" s="1"/>
  <c r="AC192" i="2"/>
  <c r="AC210" i="2" s="1"/>
  <c r="AC343" i="2" s="1"/>
  <c r="AK188" i="2"/>
  <c r="AK192" i="2" s="1"/>
  <c r="AI235" i="2"/>
  <c r="AC341" i="2"/>
  <c r="AC342" i="2" s="1"/>
  <c r="AM234" i="2"/>
  <c r="AM235" i="2" s="1"/>
  <c r="AM312" i="2"/>
  <c r="AG197" i="2"/>
  <c r="AA282" i="2"/>
  <c r="AA294" i="2" s="1"/>
  <c r="AA343" i="2" s="1"/>
  <c r="AA344" i="2" s="1"/>
  <c r="AA345" i="2" s="1"/>
  <c r="AL312" i="2"/>
  <c r="AE210" i="2"/>
  <c r="AL114" i="2"/>
  <c r="AL128" i="2" s="1"/>
  <c r="O344" i="2"/>
  <c r="O345" i="2" s="1"/>
  <c r="AI344" i="2" l="1"/>
  <c r="AI345" i="2" s="1"/>
  <c r="AM343" i="2"/>
  <c r="AM344" i="2" s="1"/>
  <c r="AM345" i="2" s="1"/>
  <c r="AH342" i="2"/>
  <c r="AH343" i="2" s="1"/>
  <c r="AH344" i="2" s="1"/>
  <c r="AH345" i="2" s="1"/>
  <c r="AG210" i="2"/>
  <c r="AG343" i="2" s="1"/>
  <c r="AG344" i="2" s="1"/>
  <c r="AG345" i="2" s="1"/>
  <c r="AD344" i="2"/>
  <c r="AD345" i="2" s="1"/>
  <c r="AK343" i="2"/>
  <c r="AK344" i="2" s="1"/>
  <c r="AK345" i="2" s="1"/>
  <c r="AI343" i="2"/>
  <c r="AL343" i="2"/>
  <c r="AL344" i="2" s="1"/>
  <c r="AL345" i="2" s="1"/>
  <c r="AC344" i="2"/>
  <c r="AC345" i="2" s="1"/>
  <c r="AA214" i="1" l="1"/>
  <c r="AA342" i="1" l="1"/>
  <c r="Y342" i="1"/>
  <c r="W342" i="1"/>
  <c r="S342" i="1"/>
  <c r="Q342" i="1"/>
  <c r="O342" i="1"/>
  <c r="AE341" i="1"/>
  <c r="AM341" i="1" s="1"/>
  <c r="AD341" i="1"/>
  <c r="AL341" i="1" s="1"/>
  <c r="AC341" i="1"/>
  <c r="AK341" i="1" s="1"/>
  <c r="AE340" i="1"/>
  <c r="AM340" i="1" s="1"/>
  <c r="AD340" i="1"/>
  <c r="AL340" i="1" s="1"/>
  <c r="AC340" i="1"/>
  <c r="AK340" i="1" s="1"/>
  <c r="AE339" i="1"/>
  <c r="AI339" i="1" s="1"/>
  <c r="AD339" i="1"/>
  <c r="AL339" i="1" s="1"/>
  <c r="AC339" i="1"/>
  <c r="AK339" i="1" s="1"/>
  <c r="AE338" i="1"/>
  <c r="AM338" i="1" s="1"/>
  <c r="AD338" i="1"/>
  <c r="AL338" i="1" s="1"/>
  <c r="AC338" i="1"/>
  <c r="AG338" i="1" s="1"/>
  <c r="M337" i="1"/>
  <c r="K337" i="1"/>
  <c r="I337" i="1"/>
  <c r="I342" i="1" s="1"/>
  <c r="AE336" i="1"/>
  <c r="AM336" i="1" s="1"/>
  <c r="AD336" i="1"/>
  <c r="AH336" i="1" s="1"/>
  <c r="AC336" i="1"/>
  <c r="AK336" i="1" s="1"/>
  <c r="AE334" i="1"/>
  <c r="M334" i="1"/>
  <c r="M342" i="1" s="1"/>
  <c r="K334" i="1"/>
  <c r="I334" i="1"/>
  <c r="AE333" i="1"/>
  <c r="AD333" i="1"/>
  <c r="AL333" i="1" s="1"/>
  <c r="AC333" i="1"/>
  <c r="AK333" i="1" s="1"/>
  <c r="AD331" i="1"/>
  <c r="AA331" i="1"/>
  <c r="Y331" i="1"/>
  <c r="W331" i="1"/>
  <c r="S331" i="1"/>
  <c r="Q331" i="1"/>
  <c r="O331" i="1"/>
  <c r="M331" i="1"/>
  <c r="K331" i="1"/>
  <c r="I331" i="1"/>
  <c r="AL330" i="1"/>
  <c r="AI330" i="1"/>
  <c r="AE330" i="1"/>
  <c r="AM330" i="1" s="1"/>
  <c r="AD330" i="1"/>
  <c r="AH330" i="1" s="1"/>
  <c r="AC330" i="1"/>
  <c r="AC331" i="1" s="1"/>
  <c r="AL329" i="1"/>
  <c r="AH329" i="1"/>
  <c r="AE329" i="1"/>
  <c r="AD329" i="1"/>
  <c r="AC329" i="1"/>
  <c r="AK329" i="1" s="1"/>
  <c r="AA327" i="1"/>
  <c r="Y327" i="1"/>
  <c r="W327" i="1"/>
  <c r="S327" i="1"/>
  <c r="Q327" i="1"/>
  <c r="O327" i="1"/>
  <c r="M327" i="1"/>
  <c r="K327" i="1"/>
  <c r="I327" i="1"/>
  <c r="AL326" i="1"/>
  <c r="AI326" i="1"/>
  <c r="AE326" i="1"/>
  <c r="AM326" i="1" s="1"/>
  <c r="AD326" i="1"/>
  <c r="AH326" i="1" s="1"/>
  <c r="AC326" i="1"/>
  <c r="AK326" i="1" s="1"/>
  <c r="AL325" i="1"/>
  <c r="AK325" i="1"/>
  <c r="AH325" i="1"/>
  <c r="AG325" i="1"/>
  <c r="AE325" i="1"/>
  <c r="AD325" i="1"/>
  <c r="AC325" i="1"/>
  <c r="AM324" i="1"/>
  <c r="AI324" i="1"/>
  <c r="AG324" i="1"/>
  <c r="AE324" i="1"/>
  <c r="AD324" i="1"/>
  <c r="AL324" i="1" s="1"/>
  <c r="AC324" i="1"/>
  <c r="AK324" i="1" s="1"/>
  <c r="AM323" i="1"/>
  <c r="AI323" i="1"/>
  <c r="AE323" i="1"/>
  <c r="AE327" i="1" s="1"/>
  <c r="AD323" i="1"/>
  <c r="AL323" i="1" s="1"/>
  <c r="AC323" i="1"/>
  <c r="AG323" i="1" s="1"/>
  <c r="Y321" i="1"/>
  <c r="W321" i="1"/>
  <c r="S321" i="1"/>
  <c r="S343" i="1" s="1"/>
  <c r="Q321" i="1"/>
  <c r="O321" i="1"/>
  <c r="O343" i="1" s="1"/>
  <c r="M321" i="1"/>
  <c r="K321" i="1"/>
  <c r="I321" i="1"/>
  <c r="I343" i="1" s="1"/>
  <c r="AM320" i="1"/>
  <c r="AI320" i="1"/>
  <c r="AH320" i="1"/>
  <c r="AE320" i="1"/>
  <c r="AD320" i="1"/>
  <c r="AL320" i="1" s="1"/>
  <c r="AC320" i="1"/>
  <c r="AK320" i="1" s="1"/>
  <c r="AM319" i="1"/>
  <c r="AI319" i="1"/>
  <c r="AH319" i="1"/>
  <c r="AE319" i="1"/>
  <c r="AD319" i="1"/>
  <c r="AL319" i="1" s="1"/>
  <c r="AC319" i="1"/>
  <c r="AG319" i="1" s="1"/>
  <c r="AI318" i="1"/>
  <c r="AE318" i="1"/>
  <c r="AM318" i="1" s="1"/>
  <c r="AD318" i="1"/>
  <c r="AH318" i="1" s="1"/>
  <c r="AC318" i="1"/>
  <c r="AK318" i="1" s="1"/>
  <c r="AL317" i="1"/>
  <c r="AH317" i="1"/>
  <c r="AE317" i="1"/>
  <c r="AD317" i="1"/>
  <c r="AC317" i="1"/>
  <c r="AK317" i="1" s="1"/>
  <c r="AA317" i="1"/>
  <c r="AA321" i="1" s="1"/>
  <c r="AM316" i="1"/>
  <c r="AI316" i="1"/>
  <c r="AE316" i="1"/>
  <c r="AD316" i="1"/>
  <c r="AL316" i="1" s="1"/>
  <c r="AC316" i="1"/>
  <c r="AA311" i="1"/>
  <c r="Y311" i="1"/>
  <c r="W311" i="1"/>
  <c r="S311" i="1"/>
  <c r="Q311" i="1"/>
  <c r="O311" i="1"/>
  <c r="M311" i="1"/>
  <c r="K311" i="1"/>
  <c r="I311" i="1"/>
  <c r="AE310" i="1"/>
  <c r="AM310" i="1" s="1"/>
  <c r="AD310" i="1"/>
  <c r="AH310" i="1" s="1"/>
  <c r="AC310" i="1"/>
  <c r="AK310" i="1" s="1"/>
  <c r="AM309" i="1"/>
  <c r="AL309" i="1"/>
  <c r="AK309" i="1"/>
  <c r="AE309" i="1"/>
  <c r="AI309" i="1" s="1"/>
  <c r="AD309" i="1"/>
  <c r="AH309" i="1" s="1"/>
  <c r="AC309" i="1"/>
  <c r="AG309" i="1" s="1"/>
  <c r="AC308" i="1"/>
  <c r="AM307" i="1"/>
  <c r="AH307" i="1"/>
  <c r="AE307" i="1"/>
  <c r="AI307" i="1" s="1"/>
  <c r="AD307" i="1"/>
  <c r="AL307" i="1" s="1"/>
  <c r="AC307" i="1"/>
  <c r="AI306" i="1"/>
  <c r="AG306" i="1"/>
  <c r="AE306" i="1"/>
  <c r="AM306" i="1" s="1"/>
  <c r="AD306" i="1"/>
  <c r="AC306" i="1"/>
  <c r="AK306" i="1" s="1"/>
  <c r="AL305" i="1"/>
  <c r="AK305" i="1"/>
  <c r="AH305" i="1"/>
  <c r="AG305" i="1"/>
  <c r="AE305" i="1"/>
  <c r="AD305" i="1"/>
  <c r="Y303" i="1"/>
  <c r="Y312" i="1" s="1"/>
  <c r="W303" i="1"/>
  <c r="W312" i="1" s="1"/>
  <c r="S303" i="1"/>
  <c r="Q303" i="1"/>
  <c r="Q312" i="1" s="1"/>
  <c r="O303" i="1"/>
  <c r="O312" i="1" s="1"/>
  <c r="K303" i="1"/>
  <c r="K312" i="1" s="1"/>
  <c r="I303" i="1"/>
  <c r="AM302" i="1"/>
  <c r="AI302" i="1"/>
  <c r="AH302" i="1"/>
  <c r="AE302" i="1"/>
  <c r="AD302" i="1"/>
  <c r="AL302" i="1" s="1"/>
  <c r="AC302" i="1"/>
  <c r="AA302" i="1"/>
  <c r="AM301" i="1"/>
  <c r="AL301" i="1"/>
  <c r="AH301" i="1"/>
  <c r="AE301" i="1"/>
  <c r="AI301" i="1" s="1"/>
  <c r="AD301" i="1"/>
  <c r="AC301" i="1"/>
  <c r="AG301" i="1" s="1"/>
  <c r="AM300" i="1"/>
  <c r="AL300" i="1"/>
  <c r="AI300" i="1"/>
  <c r="AG300" i="1"/>
  <c r="AE300" i="1"/>
  <c r="AD300" i="1"/>
  <c r="AH300" i="1" s="1"/>
  <c r="AC300" i="1"/>
  <c r="AK300" i="1" s="1"/>
  <c r="AA300" i="1"/>
  <c r="AA303" i="1" s="1"/>
  <c r="AA312" i="1" s="1"/>
  <c r="AH299" i="1"/>
  <c r="AE299" i="1"/>
  <c r="AI299" i="1" s="1"/>
  <c r="AD299" i="1"/>
  <c r="AC299" i="1"/>
  <c r="AG299" i="1" s="1"/>
  <c r="M298" i="1"/>
  <c r="AA293" i="1"/>
  <c r="Y293" i="1"/>
  <c r="W293" i="1"/>
  <c r="S293" i="1"/>
  <c r="Q293" i="1"/>
  <c r="O293" i="1"/>
  <c r="M293" i="1"/>
  <c r="M294" i="1" s="1"/>
  <c r="K293" i="1"/>
  <c r="I293" i="1"/>
  <c r="AI292" i="1"/>
  <c r="AE292" i="1"/>
  <c r="AM292" i="1" s="1"/>
  <c r="AD292" i="1"/>
  <c r="AC292" i="1"/>
  <c r="AK292" i="1" s="1"/>
  <c r="AC291" i="1"/>
  <c r="AM290" i="1"/>
  <c r="AL290" i="1"/>
  <c r="AI290" i="1"/>
  <c r="AE290" i="1"/>
  <c r="AD290" i="1"/>
  <c r="AH290" i="1" s="1"/>
  <c r="AC290" i="1"/>
  <c r="AK290" i="1" s="1"/>
  <c r="AM289" i="1"/>
  <c r="AH289" i="1"/>
  <c r="AE289" i="1"/>
  <c r="AI289" i="1" s="1"/>
  <c r="AD289" i="1"/>
  <c r="AL289" i="1" s="1"/>
  <c r="AC289" i="1"/>
  <c r="AG289" i="1" s="1"/>
  <c r="AC288" i="1"/>
  <c r="AL287" i="1"/>
  <c r="AK287" i="1"/>
  <c r="AH287" i="1"/>
  <c r="AE287" i="1"/>
  <c r="AD287" i="1"/>
  <c r="AC287" i="1"/>
  <c r="AD285" i="1"/>
  <c r="AC285" i="1"/>
  <c r="AA285" i="1"/>
  <c r="Y285" i="1"/>
  <c r="W285" i="1"/>
  <c r="S285" i="1"/>
  <c r="Q285" i="1"/>
  <c r="O285" i="1"/>
  <c r="M285" i="1"/>
  <c r="K285" i="1"/>
  <c r="I285" i="1"/>
  <c r="AK284" i="1"/>
  <c r="AK285" i="1" s="1"/>
  <c r="AI284" i="1"/>
  <c r="AI285" i="1" s="1"/>
  <c r="AG284" i="1"/>
  <c r="AG285" i="1" s="1"/>
  <c r="AE284" i="1"/>
  <c r="AE285" i="1" s="1"/>
  <c r="AD284" i="1"/>
  <c r="AH284" i="1" s="1"/>
  <c r="AH285" i="1" s="1"/>
  <c r="AC284" i="1"/>
  <c r="AL282" i="1"/>
  <c r="Y282" i="1"/>
  <c r="Y294" i="1" s="1"/>
  <c r="W282" i="1"/>
  <c r="S282" i="1"/>
  <c r="S294" i="1" s="1"/>
  <c r="Q282" i="1"/>
  <c r="Q294" i="1" s="1"/>
  <c r="O282" i="1"/>
  <c r="O294" i="1" s="1"/>
  <c r="M282" i="1"/>
  <c r="K282" i="1"/>
  <c r="I282" i="1"/>
  <c r="AM281" i="1"/>
  <c r="AH281" i="1"/>
  <c r="AE281" i="1"/>
  <c r="AI281" i="1" s="1"/>
  <c r="AD281" i="1"/>
  <c r="AL281" i="1" s="1"/>
  <c r="AC281" i="1"/>
  <c r="AG281" i="1" s="1"/>
  <c r="AA281" i="1"/>
  <c r="AC280" i="1"/>
  <c r="AM279" i="1"/>
  <c r="AL279" i="1"/>
  <c r="AI279" i="1"/>
  <c r="AE279" i="1"/>
  <c r="AD279" i="1"/>
  <c r="AH279" i="1" s="1"/>
  <c r="AC279" i="1"/>
  <c r="AK279" i="1" s="1"/>
  <c r="AH278" i="1"/>
  <c r="AE278" i="1"/>
  <c r="AI278" i="1" s="1"/>
  <c r="AD278" i="1"/>
  <c r="AL278" i="1" s="1"/>
  <c r="AC278" i="1"/>
  <c r="AG278" i="1" s="1"/>
  <c r="AA278" i="1"/>
  <c r="AA282" i="1" s="1"/>
  <c r="AL277" i="1"/>
  <c r="AH277" i="1"/>
  <c r="AE277" i="1"/>
  <c r="AD277" i="1"/>
  <c r="AD282" i="1" s="1"/>
  <c r="AC277" i="1"/>
  <c r="AC282" i="1" s="1"/>
  <c r="I273" i="1"/>
  <c r="AA272" i="1"/>
  <c r="Y272" i="1"/>
  <c r="W272" i="1"/>
  <c r="S272" i="1"/>
  <c r="Q272" i="1"/>
  <c r="O272" i="1"/>
  <c r="M272" i="1"/>
  <c r="K272" i="1"/>
  <c r="I272" i="1"/>
  <c r="AG271" i="1"/>
  <c r="AE271" i="1"/>
  <c r="AM271" i="1" s="1"/>
  <c r="AD271" i="1"/>
  <c r="AH271" i="1" s="1"/>
  <c r="AC271" i="1"/>
  <c r="AK271" i="1" s="1"/>
  <c r="AE270" i="1"/>
  <c r="AI270" i="1" s="1"/>
  <c r="AD270" i="1"/>
  <c r="AL270" i="1" s="1"/>
  <c r="AC270" i="1"/>
  <c r="AG270" i="1" s="1"/>
  <c r="AG269" i="1"/>
  <c r="AE269" i="1"/>
  <c r="AM269" i="1" s="1"/>
  <c r="AD269" i="1"/>
  <c r="AH269" i="1" s="1"/>
  <c r="AC269" i="1"/>
  <c r="AK269" i="1" s="1"/>
  <c r="AL268" i="1"/>
  <c r="AK268" i="1"/>
  <c r="AH268" i="1"/>
  <c r="AE268" i="1"/>
  <c r="AD268" i="1"/>
  <c r="AC268" i="1"/>
  <c r="AG268" i="1" s="1"/>
  <c r="AG267" i="1"/>
  <c r="AG272" i="1" s="1"/>
  <c r="AE267" i="1"/>
  <c r="AM267" i="1" s="1"/>
  <c r="AD267" i="1"/>
  <c r="AL267" i="1" s="1"/>
  <c r="AC267" i="1"/>
  <c r="AK267" i="1" s="1"/>
  <c r="AH266" i="1"/>
  <c r="AE266" i="1"/>
  <c r="AI266" i="1" s="1"/>
  <c r="AD266" i="1"/>
  <c r="AL266" i="1" s="1"/>
  <c r="AC266" i="1"/>
  <c r="AG266" i="1" s="1"/>
  <c r="AC265" i="1"/>
  <c r="AL264" i="1"/>
  <c r="AH264" i="1"/>
  <c r="AE264" i="1"/>
  <c r="AD264" i="1"/>
  <c r="AC264" i="1"/>
  <c r="AG264" i="1" s="1"/>
  <c r="AA262" i="1"/>
  <c r="Y262" i="1"/>
  <c r="W262" i="1"/>
  <c r="S262" i="1"/>
  <c r="Q262" i="1"/>
  <c r="O262" i="1"/>
  <c r="M262" i="1"/>
  <c r="K262" i="1"/>
  <c r="I262" i="1"/>
  <c r="AI261" i="1"/>
  <c r="AG261" i="1"/>
  <c r="AE261" i="1"/>
  <c r="AM261" i="1" s="1"/>
  <c r="AD261" i="1"/>
  <c r="AH261" i="1" s="1"/>
  <c r="AC261" i="1"/>
  <c r="AK261" i="1" s="1"/>
  <c r="AL260" i="1"/>
  <c r="AH260" i="1"/>
  <c r="AE260" i="1"/>
  <c r="AI260" i="1" s="1"/>
  <c r="AD260" i="1"/>
  <c r="AC260" i="1"/>
  <c r="AG260" i="1" s="1"/>
  <c r="AM259" i="1"/>
  <c r="AL259" i="1"/>
  <c r="AK259" i="1"/>
  <c r="AI259" i="1"/>
  <c r="AG259" i="1"/>
  <c r="AG262" i="1" s="1"/>
  <c r="AE259" i="1"/>
  <c r="AD259" i="1"/>
  <c r="AH259" i="1" s="1"/>
  <c r="AC259" i="1"/>
  <c r="AA257" i="1"/>
  <c r="Y257" i="1"/>
  <c r="W257" i="1"/>
  <c r="S257" i="1"/>
  <c r="Q257" i="1"/>
  <c r="O257" i="1"/>
  <c r="M257" i="1"/>
  <c r="K257" i="1"/>
  <c r="I257" i="1"/>
  <c r="AM256" i="1"/>
  <c r="AL256" i="1"/>
  <c r="AH256" i="1"/>
  <c r="AE256" i="1"/>
  <c r="AI256" i="1" s="1"/>
  <c r="AD256" i="1"/>
  <c r="AC256" i="1"/>
  <c r="AG256" i="1" s="1"/>
  <c r="AM255" i="1"/>
  <c r="AL255" i="1"/>
  <c r="AK255" i="1"/>
  <c r="AI255" i="1"/>
  <c r="AG255" i="1"/>
  <c r="AE255" i="1"/>
  <c r="AD255" i="1"/>
  <c r="AH255" i="1" s="1"/>
  <c r="AC255" i="1"/>
  <c r="AM254" i="1"/>
  <c r="AH254" i="1"/>
  <c r="AE254" i="1"/>
  <c r="AI254" i="1" s="1"/>
  <c r="AD254" i="1"/>
  <c r="AL254" i="1" s="1"/>
  <c r="AC254" i="1"/>
  <c r="AL253" i="1"/>
  <c r="AE253" i="1"/>
  <c r="AD253" i="1"/>
  <c r="AC253" i="1"/>
  <c r="AK253" i="1" s="1"/>
  <c r="AA251" i="1"/>
  <c r="Y251" i="1"/>
  <c r="W251" i="1"/>
  <c r="S251" i="1"/>
  <c r="Q251" i="1"/>
  <c r="O251" i="1"/>
  <c r="M251" i="1"/>
  <c r="K251" i="1"/>
  <c r="I251" i="1"/>
  <c r="AM250" i="1"/>
  <c r="AI250" i="1"/>
  <c r="AH250" i="1"/>
  <c r="AE250" i="1"/>
  <c r="AD250" i="1"/>
  <c r="AL250" i="1" s="1"/>
  <c r="AC250" i="1"/>
  <c r="AA250" i="1"/>
  <c r="AH249" i="1"/>
  <c r="AE249" i="1"/>
  <c r="AD249" i="1"/>
  <c r="AL249" i="1" s="1"/>
  <c r="AC249" i="1"/>
  <c r="AK249" i="1" s="1"/>
  <c r="AM248" i="1"/>
  <c r="AL248" i="1"/>
  <c r="AI248" i="1"/>
  <c r="AE248" i="1"/>
  <c r="AD248" i="1"/>
  <c r="AH248" i="1" s="1"/>
  <c r="AC248" i="1"/>
  <c r="AK248" i="1" s="1"/>
  <c r="AA248" i="1"/>
  <c r="AM247" i="1"/>
  <c r="AL247" i="1"/>
  <c r="AL251" i="1" s="1"/>
  <c r="AK247" i="1"/>
  <c r="AI247" i="1"/>
  <c r="AG247" i="1"/>
  <c r="AE247" i="1"/>
  <c r="AD247" i="1"/>
  <c r="AC247" i="1"/>
  <c r="Y245" i="1"/>
  <c r="Y273" i="1" s="1"/>
  <c r="W245" i="1"/>
  <c r="S245" i="1"/>
  <c r="Q245" i="1"/>
  <c r="Q273" i="1" s="1"/>
  <c r="O245" i="1"/>
  <c r="M245" i="1"/>
  <c r="K245" i="1"/>
  <c r="I245" i="1"/>
  <c r="AM244" i="1"/>
  <c r="AK244" i="1"/>
  <c r="AE244" i="1"/>
  <c r="AI244" i="1" s="1"/>
  <c r="AD244" i="1"/>
  <c r="AC244" i="1"/>
  <c r="AG244" i="1" s="1"/>
  <c r="AA244" i="1"/>
  <c r="AC243" i="1"/>
  <c r="AG243" i="1" s="1"/>
  <c r="AM242" i="1"/>
  <c r="AK242" i="1"/>
  <c r="AE242" i="1"/>
  <c r="AI242" i="1" s="1"/>
  <c r="AD242" i="1"/>
  <c r="AC242" i="1"/>
  <c r="AG242" i="1" s="1"/>
  <c r="AM241" i="1"/>
  <c r="AI241" i="1"/>
  <c r="AE241" i="1"/>
  <c r="AD241" i="1"/>
  <c r="AH241" i="1" s="1"/>
  <c r="AC241" i="1"/>
  <c r="AK241" i="1" s="1"/>
  <c r="AL240" i="1"/>
  <c r="AH240" i="1"/>
  <c r="AE240" i="1"/>
  <c r="AD240" i="1"/>
  <c r="AC240" i="1"/>
  <c r="AA240" i="1"/>
  <c r="AA245" i="1" s="1"/>
  <c r="AH239" i="1"/>
  <c r="AE239" i="1"/>
  <c r="AD239" i="1"/>
  <c r="AL239" i="1" s="1"/>
  <c r="AC239" i="1"/>
  <c r="AA234" i="1"/>
  <c r="Y234" i="1"/>
  <c r="W234" i="1"/>
  <c r="S234" i="1"/>
  <c r="Q234" i="1"/>
  <c r="M234" i="1"/>
  <c r="K234" i="1"/>
  <c r="I234" i="1"/>
  <c r="AI233" i="1"/>
  <c r="AE233" i="1"/>
  <c r="AM233" i="1" s="1"/>
  <c r="AD233" i="1"/>
  <c r="AH233" i="1" s="1"/>
  <c r="AC233" i="1"/>
  <c r="AK233" i="1" s="1"/>
  <c r="AC232" i="1"/>
  <c r="AC231" i="1"/>
  <c r="AK231" i="1" s="1"/>
  <c r="O231" i="1"/>
  <c r="AL230" i="1"/>
  <c r="AK230" i="1"/>
  <c r="AK234" i="1" s="1"/>
  <c r="AI230" i="1"/>
  <c r="AG230" i="1"/>
  <c r="AE230" i="1"/>
  <c r="AM230" i="1" s="1"/>
  <c r="AD230" i="1"/>
  <c r="AH230" i="1" s="1"/>
  <c r="AC230" i="1"/>
  <c r="AE228" i="1"/>
  <c r="AA228" i="1"/>
  <c r="Y228" i="1"/>
  <c r="W228" i="1"/>
  <c r="S228" i="1"/>
  <c r="Q228" i="1"/>
  <c r="O228" i="1"/>
  <c r="M228" i="1"/>
  <c r="K228" i="1"/>
  <c r="I228" i="1"/>
  <c r="AM227" i="1"/>
  <c r="AE227" i="1"/>
  <c r="AI227" i="1" s="1"/>
  <c r="AD227" i="1"/>
  <c r="AC227" i="1"/>
  <c r="AG227" i="1" s="1"/>
  <c r="AI226" i="1"/>
  <c r="AE226" i="1"/>
  <c r="AM226" i="1" s="1"/>
  <c r="AM228" i="1" s="1"/>
  <c r="AD226" i="1"/>
  <c r="AL226" i="1" s="1"/>
  <c r="AC226" i="1"/>
  <c r="AK226" i="1" s="1"/>
  <c r="AA224" i="1"/>
  <c r="Y224" i="1"/>
  <c r="W224" i="1"/>
  <c r="S224" i="1"/>
  <c r="Q224" i="1"/>
  <c r="Q235" i="1" s="1"/>
  <c r="O224" i="1"/>
  <c r="K224" i="1"/>
  <c r="I224" i="1"/>
  <c r="I235" i="1" s="1"/>
  <c r="AM223" i="1"/>
  <c r="AK223" i="1"/>
  <c r="AH223" i="1"/>
  <c r="AE223" i="1"/>
  <c r="AI223" i="1" s="1"/>
  <c r="AD223" i="1"/>
  <c r="AL223" i="1" s="1"/>
  <c r="AC223" i="1"/>
  <c r="AG223" i="1" s="1"/>
  <c r="O222" i="1"/>
  <c r="M222" i="1"/>
  <c r="M224" i="1" s="1"/>
  <c r="M235" i="1" s="1"/>
  <c r="K222" i="1"/>
  <c r="I222" i="1"/>
  <c r="Y220" i="1"/>
  <c r="Y235" i="1" s="1"/>
  <c r="W220" i="1"/>
  <c r="S220" i="1"/>
  <c r="Q220" i="1"/>
  <c r="O220" i="1"/>
  <c r="M220" i="1"/>
  <c r="K220" i="1"/>
  <c r="K235" i="1" s="1"/>
  <c r="I220" i="1"/>
  <c r="AM219" i="1"/>
  <c r="AI219" i="1"/>
  <c r="AH219" i="1"/>
  <c r="AE219" i="1"/>
  <c r="AD219" i="1"/>
  <c r="AL219" i="1" s="1"/>
  <c r="AC219" i="1"/>
  <c r="AC218" i="1"/>
  <c r="AG218" i="1" s="1"/>
  <c r="AH217" i="1"/>
  <c r="AE217" i="1"/>
  <c r="AD217" i="1"/>
  <c r="AL217" i="1" s="1"/>
  <c r="AC217" i="1"/>
  <c r="AM216" i="1"/>
  <c r="AH216" i="1"/>
  <c r="AG216" i="1"/>
  <c r="AE216" i="1"/>
  <c r="AI216" i="1" s="1"/>
  <c r="AD216" i="1"/>
  <c r="AL216" i="1" s="1"/>
  <c r="AC216" i="1"/>
  <c r="AK216" i="1" s="1"/>
  <c r="AL215" i="1"/>
  <c r="AI215" i="1"/>
  <c r="AG215" i="1"/>
  <c r="AE215" i="1"/>
  <c r="AM215" i="1" s="1"/>
  <c r="AD215" i="1"/>
  <c r="AH215" i="1" s="1"/>
  <c r="AC215" i="1"/>
  <c r="AK215" i="1" s="1"/>
  <c r="AA215" i="1"/>
  <c r="AL214" i="1"/>
  <c r="AI214" i="1"/>
  <c r="AE214" i="1"/>
  <c r="AM214" i="1" s="1"/>
  <c r="AD214" i="1"/>
  <c r="AC214" i="1"/>
  <c r="AA219" i="1"/>
  <c r="Q210" i="1"/>
  <c r="M210" i="1"/>
  <c r="AA209" i="1"/>
  <c r="Y209" i="1"/>
  <c r="W209" i="1"/>
  <c r="S209" i="1"/>
  <c r="Q209" i="1"/>
  <c r="M209" i="1"/>
  <c r="K209" i="1"/>
  <c r="I209" i="1"/>
  <c r="AM208" i="1"/>
  <c r="AG208" i="1"/>
  <c r="AE208" i="1"/>
  <c r="AI208" i="1" s="1"/>
  <c r="AD208" i="1"/>
  <c r="AH208" i="1" s="1"/>
  <c r="AC208" i="1"/>
  <c r="AK208" i="1" s="1"/>
  <c r="AE207" i="1"/>
  <c r="AD207" i="1"/>
  <c r="AL207" i="1" s="1"/>
  <c r="AC207" i="1"/>
  <c r="AG207" i="1" s="1"/>
  <c r="O206" i="1"/>
  <c r="AL205" i="1"/>
  <c r="AG205" i="1"/>
  <c r="AE205" i="1"/>
  <c r="AM205" i="1" s="1"/>
  <c r="AD205" i="1"/>
  <c r="AH205" i="1" s="1"/>
  <c r="AC205" i="1"/>
  <c r="AK205" i="1" s="1"/>
  <c r="AE204" i="1"/>
  <c r="AI204" i="1" s="1"/>
  <c r="AD204" i="1"/>
  <c r="AL204" i="1" s="1"/>
  <c r="AC204" i="1"/>
  <c r="AG204" i="1" s="1"/>
  <c r="AK203" i="1"/>
  <c r="AI203" i="1"/>
  <c r="AG203" i="1"/>
  <c r="AE203" i="1"/>
  <c r="AM203" i="1" s="1"/>
  <c r="AD203" i="1"/>
  <c r="AC203" i="1"/>
  <c r="O202" i="1"/>
  <c r="AE201" i="1"/>
  <c r="AI201" i="1" s="1"/>
  <c r="AD201" i="1"/>
  <c r="AC201" i="1"/>
  <c r="AK201" i="1" s="1"/>
  <c r="AK200" i="1"/>
  <c r="AI200" i="1"/>
  <c r="AE200" i="1"/>
  <c r="AM200" i="1" s="1"/>
  <c r="AD200" i="1"/>
  <c r="AH200" i="1" s="1"/>
  <c r="AC200" i="1"/>
  <c r="AG200" i="1" s="1"/>
  <c r="AM199" i="1"/>
  <c r="AE199" i="1"/>
  <c r="AD199" i="1"/>
  <c r="AL199" i="1" s="1"/>
  <c r="AC199" i="1"/>
  <c r="AK199" i="1" s="1"/>
  <c r="AA197" i="1"/>
  <c r="Y197" i="1"/>
  <c r="W197" i="1"/>
  <c r="S197" i="1"/>
  <c r="Q197" i="1"/>
  <c r="O197" i="1"/>
  <c r="M197" i="1"/>
  <c r="K197" i="1"/>
  <c r="I197" i="1"/>
  <c r="AI196" i="1"/>
  <c r="AE196" i="1"/>
  <c r="AM196" i="1" s="1"/>
  <c r="AD196" i="1"/>
  <c r="AC196" i="1"/>
  <c r="AK196" i="1" s="1"/>
  <c r="AC195" i="1"/>
  <c r="AC197" i="1" s="1"/>
  <c r="AM194" i="1"/>
  <c r="AL194" i="1"/>
  <c r="AI194" i="1"/>
  <c r="AH194" i="1"/>
  <c r="AE194" i="1"/>
  <c r="AE197" i="1" s="1"/>
  <c r="AD194" i="1"/>
  <c r="AC194" i="1"/>
  <c r="AK194" i="1" s="1"/>
  <c r="AC192" i="1"/>
  <c r="AA192" i="1"/>
  <c r="Y192" i="1"/>
  <c r="W192" i="1"/>
  <c r="S192" i="1"/>
  <c r="Q192" i="1"/>
  <c r="O192" i="1"/>
  <c r="M192" i="1"/>
  <c r="K192" i="1"/>
  <c r="I192" i="1"/>
  <c r="AM191" i="1"/>
  <c r="AH191" i="1"/>
  <c r="AE191" i="1"/>
  <c r="AI191" i="1" s="1"/>
  <c r="AD191" i="1"/>
  <c r="AL191" i="1" s="1"/>
  <c r="AC191" i="1"/>
  <c r="AG191" i="1" s="1"/>
  <c r="AM190" i="1"/>
  <c r="AL190" i="1"/>
  <c r="AI190" i="1"/>
  <c r="AH190" i="1"/>
  <c r="AG190" i="1"/>
  <c r="AE190" i="1"/>
  <c r="AD190" i="1"/>
  <c r="AC190" i="1"/>
  <c r="AK190" i="1" s="1"/>
  <c r="AM189" i="1"/>
  <c r="AE189" i="1"/>
  <c r="AI189" i="1" s="1"/>
  <c r="AD189" i="1"/>
  <c r="AC189" i="1"/>
  <c r="AG189" i="1" s="1"/>
  <c r="AG188" i="1"/>
  <c r="AE188" i="1"/>
  <c r="AM188" i="1" s="1"/>
  <c r="AD188" i="1"/>
  <c r="AL188" i="1" s="1"/>
  <c r="O188" i="1"/>
  <c r="AC188" i="1" s="1"/>
  <c r="AK188" i="1" s="1"/>
  <c r="Y186" i="1"/>
  <c r="W186" i="1"/>
  <c r="S186" i="1"/>
  <c r="Q186" i="1"/>
  <c r="O186" i="1"/>
  <c r="M186" i="1"/>
  <c r="K186" i="1"/>
  <c r="I186" i="1"/>
  <c r="AK185" i="1"/>
  <c r="AE185" i="1"/>
  <c r="AD185" i="1"/>
  <c r="AH185" i="1" s="1"/>
  <c r="AC185" i="1"/>
  <c r="AG185" i="1" s="1"/>
  <c r="AA185" i="1"/>
  <c r="AL184" i="1"/>
  <c r="AI184" i="1"/>
  <c r="AH184" i="1"/>
  <c r="AE184" i="1"/>
  <c r="AM184" i="1" s="1"/>
  <c r="AD184" i="1"/>
  <c r="AC184" i="1"/>
  <c r="AG184" i="1" s="1"/>
  <c r="AM183" i="1"/>
  <c r="AE183" i="1"/>
  <c r="AI183" i="1" s="1"/>
  <c r="AD183" i="1"/>
  <c r="AC183" i="1"/>
  <c r="AK183" i="1" s="1"/>
  <c r="AA183" i="1"/>
  <c r="AL182" i="1"/>
  <c r="AH182" i="1"/>
  <c r="AE182" i="1"/>
  <c r="AD182" i="1"/>
  <c r="AD186" i="1" s="1"/>
  <c r="AC182" i="1"/>
  <c r="AG182" i="1" s="1"/>
  <c r="Y180" i="1"/>
  <c r="Y210" i="1" s="1"/>
  <c r="W180" i="1"/>
  <c r="S180" i="1"/>
  <c r="Q180" i="1"/>
  <c r="O180" i="1"/>
  <c r="M180" i="1"/>
  <c r="K180" i="1"/>
  <c r="K210" i="1" s="1"/>
  <c r="I180" i="1"/>
  <c r="AE179" i="1"/>
  <c r="AM179" i="1" s="1"/>
  <c r="AD179" i="1"/>
  <c r="AL179" i="1" s="1"/>
  <c r="AC179" i="1"/>
  <c r="AK179" i="1" s="1"/>
  <c r="AM178" i="1"/>
  <c r="AH178" i="1"/>
  <c r="AE178" i="1"/>
  <c r="AI178" i="1" s="1"/>
  <c r="AD178" i="1"/>
  <c r="AL178" i="1" s="1"/>
  <c r="AC178" i="1"/>
  <c r="AG178" i="1" s="1"/>
  <c r="AE177" i="1"/>
  <c r="AI177" i="1" s="1"/>
  <c r="AD177" i="1"/>
  <c r="AH177" i="1" s="1"/>
  <c r="AC177" i="1"/>
  <c r="AK177" i="1" s="1"/>
  <c r="AH176" i="1"/>
  <c r="AE176" i="1"/>
  <c r="AM176" i="1" s="1"/>
  <c r="AD176" i="1"/>
  <c r="AL176" i="1" s="1"/>
  <c r="AC176" i="1"/>
  <c r="AG176" i="1" s="1"/>
  <c r="AA176" i="1"/>
  <c r="AA180" i="1" s="1"/>
  <c r="AM175" i="1"/>
  <c r="AE175" i="1"/>
  <c r="AD175" i="1"/>
  <c r="AL175" i="1" s="1"/>
  <c r="AC175" i="1"/>
  <c r="AK175" i="1" s="1"/>
  <c r="AM174" i="1"/>
  <c r="AK174" i="1"/>
  <c r="AG174" i="1"/>
  <c r="AE174" i="1"/>
  <c r="AI174" i="1" s="1"/>
  <c r="AD174" i="1"/>
  <c r="AH174" i="1" s="1"/>
  <c r="Y173" i="1"/>
  <c r="W173" i="1"/>
  <c r="S173" i="1"/>
  <c r="Q173" i="1"/>
  <c r="O173" i="1"/>
  <c r="M173" i="1"/>
  <c r="K173" i="1"/>
  <c r="I173" i="1"/>
  <c r="I210" i="1" s="1"/>
  <c r="AL172" i="1"/>
  <c r="AI172" i="1"/>
  <c r="AG172" i="1"/>
  <c r="AE172" i="1"/>
  <c r="AM172" i="1" s="1"/>
  <c r="AD172" i="1"/>
  <c r="AH172" i="1" s="1"/>
  <c r="AC172" i="1"/>
  <c r="AK172" i="1" s="1"/>
  <c r="AA172" i="1"/>
  <c r="AE171" i="1"/>
  <c r="AM171" i="1" s="1"/>
  <c r="AD171" i="1"/>
  <c r="AH171" i="1" s="1"/>
  <c r="AC171" i="1"/>
  <c r="AG171" i="1" s="1"/>
  <c r="AL170" i="1"/>
  <c r="AE170" i="1"/>
  <c r="AI170" i="1" s="1"/>
  <c r="AD170" i="1"/>
  <c r="AH170" i="1" s="1"/>
  <c r="AC170" i="1"/>
  <c r="AK170" i="1" s="1"/>
  <c r="AL169" i="1"/>
  <c r="AE169" i="1"/>
  <c r="AM169" i="1" s="1"/>
  <c r="AD169" i="1"/>
  <c r="AH169" i="1" s="1"/>
  <c r="AC169" i="1"/>
  <c r="AK169" i="1" s="1"/>
  <c r="AE168" i="1"/>
  <c r="AI168" i="1" s="1"/>
  <c r="AD168" i="1"/>
  <c r="AL168" i="1" s="1"/>
  <c r="AC168" i="1"/>
  <c r="AK168" i="1" s="1"/>
  <c r="AA168" i="1"/>
  <c r="AK167" i="1"/>
  <c r="AE167" i="1"/>
  <c r="AI167" i="1" s="1"/>
  <c r="AD167" i="1"/>
  <c r="AL167" i="1" s="1"/>
  <c r="AC167" i="1"/>
  <c r="AG167" i="1" s="1"/>
  <c r="AE166" i="1"/>
  <c r="AE173" i="1" s="1"/>
  <c r="AD166" i="1"/>
  <c r="AL166" i="1" s="1"/>
  <c r="AC166" i="1"/>
  <c r="AK166" i="1" s="1"/>
  <c r="AA161" i="1"/>
  <c r="Y161" i="1"/>
  <c r="W161" i="1"/>
  <c r="S161" i="1"/>
  <c r="Q161" i="1"/>
  <c r="O161" i="1"/>
  <c r="M161" i="1"/>
  <c r="K161" i="1"/>
  <c r="I161" i="1"/>
  <c r="AH160" i="1"/>
  <c r="AE160" i="1"/>
  <c r="AI160" i="1" s="1"/>
  <c r="AD160" i="1"/>
  <c r="AL160" i="1" s="1"/>
  <c r="AC160" i="1"/>
  <c r="AG160" i="1" s="1"/>
  <c r="AL159" i="1"/>
  <c r="AI159" i="1"/>
  <c r="AG159" i="1"/>
  <c r="AE159" i="1"/>
  <c r="AM159" i="1" s="1"/>
  <c r="AD159" i="1"/>
  <c r="AH159" i="1" s="1"/>
  <c r="AC159" i="1"/>
  <c r="AK159" i="1" s="1"/>
  <c r="AE158" i="1"/>
  <c r="AI158" i="1" s="1"/>
  <c r="AD158" i="1"/>
  <c r="AH158" i="1" s="1"/>
  <c r="AC158" i="1"/>
  <c r="AG158" i="1" s="1"/>
  <c r="AM157" i="1"/>
  <c r="AI157" i="1"/>
  <c r="AH157" i="1"/>
  <c r="AG157" i="1"/>
  <c r="AE157" i="1"/>
  <c r="AD157" i="1"/>
  <c r="AL157" i="1" s="1"/>
  <c r="AC157" i="1"/>
  <c r="AK157" i="1" s="1"/>
  <c r="AH156" i="1"/>
  <c r="AE156" i="1"/>
  <c r="AI156" i="1" s="1"/>
  <c r="AD156" i="1"/>
  <c r="AL156" i="1" s="1"/>
  <c r="AC156" i="1"/>
  <c r="AG155" i="1"/>
  <c r="AE155" i="1"/>
  <c r="AM155" i="1" s="1"/>
  <c r="AD155" i="1"/>
  <c r="AL155" i="1" s="1"/>
  <c r="AC155" i="1"/>
  <c r="AK155" i="1" s="1"/>
  <c r="AM154" i="1"/>
  <c r="AE154" i="1"/>
  <c r="AI154" i="1" s="1"/>
  <c r="AD154" i="1"/>
  <c r="AL154" i="1" s="1"/>
  <c r="AC154" i="1"/>
  <c r="AG154" i="1" s="1"/>
  <c r="AL153" i="1"/>
  <c r="AH153" i="1"/>
  <c r="AG153" i="1"/>
  <c r="AE153" i="1"/>
  <c r="AM153" i="1" s="1"/>
  <c r="AD153" i="1"/>
  <c r="AC153" i="1"/>
  <c r="AK153" i="1" s="1"/>
  <c r="AH151" i="1"/>
  <c r="AD151" i="1"/>
  <c r="AC151" i="1"/>
  <c r="AA151" i="1"/>
  <c r="Y151" i="1"/>
  <c r="W151" i="1"/>
  <c r="S151" i="1"/>
  <c r="Q151" i="1"/>
  <c r="O151" i="1"/>
  <c r="M151" i="1"/>
  <c r="K151" i="1"/>
  <c r="I151" i="1"/>
  <c r="AL150" i="1"/>
  <c r="AL151" i="1" s="1"/>
  <c r="AK150" i="1"/>
  <c r="AK151" i="1" s="1"/>
  <c r="AH150" i="1"/>
  <c r="AE150" i="1"/>
  <c r="AI150" i="1" s="1"/>
  <c r="AI151" i="1" s="1"/>
  <c r="AD150" i="1"/>
  <c r="AC150" i="1"/>
  <c r="AG150" i="1" s="1"/>
  <c r="AG151" i="1" s="1"/>
  <c r="AA148" i="1"/>
  <c r="Y148" i="1"/>
  <c r="W148" i="1"/>
  <c r="S148" i="1"/>
  <c r="Q148" i="1"/>
  <c r="K148" i="1"/>
  <c r="AL147" i="1"/>
  <c r="AI147" i="1"/>
  <c r="AE147" i="1"/>
  <c r="AM147" i="1" s="1"/>
  <c r="AD147" i="1"/>
  <c r="AH147" i="1" s="1"/>
  <c r="AC147" i="1"/>
  <c r="AK147" i="1" s="1"/>
  <c r="AE146" i="1"/>
  <c r="AI146" i="1" s="1"/>
  <c r="AD146" i="1"/>
  <c r="AC146" i="1"/>
  <c r="AG146" i="1" s="1"/>
  <c r="AM145" i="1"/>
  <c r="AI145" i="1"/>
  <c r="AE145" i="1"/>
  <c r="AD145" i="1"/>
  <c r="AL145" i="1" s="1"/>
  <c r="AC145" i="1"/>
  <c r="AK145" i="1" s="1"/>
  <c r="O144" i="1"/>
  <c r="O148" i="1" s="1"/>
  <c r="M144" i="1"/>
  <c r="K144" i="1"/>
  <c r="I144" i="1"/>
  <c r="I148" i="1" s="1"/>
  <c r="AA142" i="1"/>
  <c r="Y142" i="1"/>
  <c r="W142" i="1"/>
  <c r="S142" i="1"/>
  <c r="S162" i="1" s="1"/>
  <c r="Q142" i="1"/>
  <c r="Q162" i="1" s="1"/>
  <c r="O142" i="1"/>
  <c r="M142" i="1"/>
  <c r="K142" i="1"/>
  <c r="I142" i="1"/>
  <c r="AM141" i="1"/>
  <c r="AE141" i="1"/>
  <c r="AI141" i="1" s="1"/>
  <c r="AD141" i="1"/>
  <c r="AH141" i="1" s="1"/>
  <c r="AC141" i="1"/>
  <c r="AK141" i="1" s="1"/>
  <c r="AH140" i="1"/>
  <c r="AE140" i="1"/>
  <c r="AI140" i="1" s="1"/>
  <c r="AD140" i="1"/>
  <c r="AL140" i="1" s="1"/>
  <c r="AC140" i="1"/>
  <c r="AG140" i="1" s="1"/>
  <c r="AK139" i="1"/>
  <c r="AI139" i="1"/>
  <c r="AG139" i="1"/>
  <c r="AE139" i="1"/>
  <c r="AE142" i="1" s="1"/>
  <c r="AD139" i="1"/>
  <c r="AH139" i="1" s="1"/>
  <c r="AH142" i="1" s="1"/>
  <c r="AC139" i="1"/>
  <c r="Y137" i="1"/>
  <c r="Y162" i="1" s="1"/>
  <c r="W137" i="1"/>
  <c r="S137" i="1"/>
  <c r="Q137" i="1"/>
  <c r="O137" i="1"/>
  <c r="M137" i="1"/>
  <c r="K137" i="1"/>
  <c r="K162" i="1" s="1"/>
  <c r="I137" i="1"/>
  <c r="AI136" i="1"/>
  <c r="AH136" i="1"/>
  <c r="AE136" i="1"/>
  <c r="AM136" i="1" s="1"/>
  <c r="AD136" i="1"/>
  <c r="AL136" i="1" s="1"/>
  <c r="AC136" i="1"/>
  <c r="AG136" i="1" s="1"/>
  <c r="AA136" i="1"/>
  <c r="AM135" i="1"/>
  <c r="AL135" i="1"/>
  <c r="AH135" i="1"/>
  <c r="AE135" i="1"/>
  <c r="AI135" i="1" s="1"/>
  <c r="AD135" i="1"/>
  <c r="AC135" i="1"/>
  <c r="AG135" i="1" s="1"/>
  <c r="AM134" i="1"/>
  <c r="AL134" i="1"/>
  <c r="AI134" i="1"/>
  <c r="AE134" i="1"/>
  <c r="AD134" i="1"/>
  <c r="AH134" i="1" s="1"/>
  <c r="AC134" i="1"/>
  <c r="AH133" i="1"/>
  <c r="AE133" i="1"/>
  <c r="AI133" i="1" s="1"/>
  <c r="AD133" i="1"/>
  <c r="AL133" i="1" s="1"/>
  <c r="AC133" i="1"/>
  <c r="AK133" i="1" s="1"/>
  <c r="AA133" i="1"/>
  <c r="AL132" i="1"/>
  <c r="AK132" i="1"/>
  <c r="AH132" i="1"/>
  <c r="AE132" i="1"/>
  <c r="AI132" i="1" s="1"/>
  <c r="AD132" i="1"/>
  <c r="AC132" i="1"/>
  <c r="AG132" i="1" s="1"/>
  <c r="AA127" i="1"/>
  <c r="Y127" i="1"/>
  <c r="W127" i="1"/>
  <c r="S127" i="1"/>
  <c r="Q127" i="1"/>
  <c r="O127" i="1"/>
  <c r="M127" i="1"/>
  <c r="K127" i="1"/>
  <c r="I127" i="1"/>
  <c r="AM126" i="1"/>
  <c r="AE126" i="1"/>
  <c r="AI126" i="1" s="1"/>
  <c r="AD126" i="1"/>
  <c r="AC126" i="1"/>
  <c r="AK126" i="1" s="1"/>
  <c r="AL125" i="1"/>
  <c r="AH125" i="1"/>
  <c r="AE125" i="1"/>
  <c r="AD125" i="1"/>
  <c r="AC125" i="1"/>
  <c r="AG125" i="1" s="1"/>
  <c r="AI124" i="1"/>
  <c r="AE124" i="1"/>
  <c r="AM124" i="1" s="1"/>
  <c r="AD124" i="1"/>
  <c r="AL124" i="1" s="1"/>
  <c r="AC124" i="1"/>
  <c r="AK124" i="1" s="1"/>
  <c r="AM123" i="1"/>
  <c r="AE123" i="1"/>
  <c r="AI123" i="1" s="1"/>
  <c r="AD123" i="1"/>
  <c r="AL123" i="1" s="1"/>
  <c r="AC123" i="1"/>
  <c r="AG123" i="1" s="1"/>
  <c r="AM122" i="1"/>
  <c r="AE122" i="1"/>
  <c r="AI122" i="1" s="1"/>
  <c r="AD122" i="1"/>
  <c r="AC122" i="1"/>
  <c r="AK122" i="1" s="1"/>
  <c r="AH121" i="1"/>
  <c r="AE121" i="1"/>
  <c r="AD121" i="1"/>
  <c r="AL121" i="1" s="1"/>
  <c r="AC121" i="1"/>
  <c r="AG121" i="1" s="1"/>
  <c r="AE120" i="1"/>
  <c r="AM120" i="1" s="1"/>
  <c r="AD120" i="1"/>
  <c r="AL120" i="1" s="1"/>
  <c r="AC120" i="1"/>
  <c r="AK120" i="1" s="1"/>
  <c r="AM119" i="1"/>
  <c r="AE119" i="1"/>
  <c r="AI119" i="1" s="1"/>
  <c r="AD119" i="1"/>
  <c r="AH119" i="1" s="1"/>
  <c r="AC119" i="1"/>
  <c r="AG119" i="1" s="1"/>
  <c r="AM117" i="1"/>
  <c r="AI117" i="1"/>
  <c r="AE117" i="1"/>
  <c r="AD117" i="1"/>
  <c r="AC117" i="1"/>
  <c r="AK117" i="1" s="1"/>
  <c r="AL116" i="1"/>
  <c r="AH116" i="1"/>
  <c r="AE116" i="1"/>
  <c r="AD116" i="1"/>
  <c r="AC116" i="1"/>
  <c r="W114" i="1"/>
  <c r="S114" i="1"/>
  <c r="S128" i="1" s="1"/>
  <c r="Q114" i="1"/>
  <c r="Q128" i="1" s="1"/>
  <c r="O114" i="1"/>
  <c r="O128" i="1" s="1"/>
  <c r="M114" i="1"/>
  <c r="M128" i="1" s="1"/>
  <c r="K114" i="1"/>
  <c r="K128" i="1" s="1"/>
  <c r="AK113" i="1"/>
  <c r="AI113" i="1"/>
  <c r="AG113" i="1"/>
  <c r="AE113" i="1"/>
  <c r="AM113" i="1" s="1"/>
  <c r="AD113" i="1"/>
  <c r="AH113" i="1" s="1"/>
  <c r="AL112" i="1"/>
  <c r="AE112" i="1"/>
  <c r="AD112" i="1"/>
  <c r="AA112" i="1"/>
  <c r="Y112" i="1"/>
  <c r="AG111" i="1"/>
  <c r="AE111" i="1"/>
  <c r="AI111" i="1" s="1"/>
  <c r="AD111" i="1"/>
  <c r="AH111" i="1" s="1"/>
  <c r="AA111" i="1"/>
  <c r="Y111" i="1"/>
  <c r="AI110" i="1"/>
  <c r="AG110" i="1"/>
  <c r="AE110" i="1"/>
  <c r="AM110" i="1" s="1"/>
  <c r="AD110" i="1"/>
  <c r="AA110" i="1"/>
  <c r="AG109" i="1"/>
  <c r="AE109" i="1"/>
  <c r="AI109" i="1" s="1"/>
  <c r="AD109" i="1"/>
  <c r="AH109" i="1" s="1"/>
  <c r="AA109" i="1"/>
  <c r="Y109" i="1"/>
  <c r="AL108" i="1"/>
  <c r="AI108" i="1"/>
  <c r="AG108" i="1"/>
  <c r="AE108" i="1"/>
  <c r="AM108" i="1" s="1"/>
  <c r="AD108" i="1"/>
  <c r="AH108" i="1" s="1"/>
  <c r="AC108" i="1"/>
  <c r="AK108" i="1" s="1"/>
  <c r="AE107" i="1"/>
  <c r="AM107" i="1" s="1"/>
  <c r="AD107" i="1"/>
  <c r="AL107" i="1" s="1"/>
  <c r="AC107" i="1"/>
  <c r="AG107" i="1" s="1"/>
  <c r="I107" i="1"/>
  <c r="I114" i="1" s="1"/>
  <c r="I128" i="1" s="1"/>
  <c r="AM106" i="1"/>
  <c r="AH106" i="1"/>
  <c r="AE106" i="1"/>
  <c r="AI106" i="1" s="1"/>
  <c r="AD106" i="1"/>
  <c r="AL106" i="1" s="1"/>
  <c r="AC106" i="1"/>
  <c r="AG105" i="1"/>
  <c r="AE105" i="1"/>
  <c r="AM105" i="1" s="1"/>
  <c r="AD105" i="1"/>
  <c r="AH105" i="1" s="1"/>
  <c r="AC105" i="1"/>
  <c r="AK105" i="1" s="1"/>
  <c r="AM104" i="1"/>
  <c r="AK104" i="1"/>
  <c r="AH104" i="1"/>
  <c r="AE104" i="1"/>
  <c r="AI104" i="1" s="1"/>
  <c r="AD104" i="1"/>
  <c r="AL104" i="1" s="1"/>
  <c r="AC104" i="1"/>
  <c r="AG104" i="1" s="1"/>
  <c r="AK103" i="1"/>
  <c r="AI103" i="1"/>
  <c r="AE103" i="1"/>
  <c r="AM103" i="1" s="1"/>
  <c r="AD103" i="1"/>
  <c r="AH103" i="1" s="1"/>
  <c r="AC103" i="1"/>
  <c r="AG103" i="1" s="1"/>
  <c r="AM102" i="1"/>
  <c r="AK102" i="1"/>
  <c r="AH102" i="1"/>
  <c r="AE102" i="1"/>
  <c r="AI102" i="1" s="1"/>
  <c r="AD102" i="1"/>
  <c r="AL102" i="1" s="1"/>
  <c r="AC102" i="1"/>
  <c r="AG102" i="1" s="1"/>
  <c r="AE101" i="1"/>
  <c r="AM101" i="1" s="1"/>
  <c r="AD101" i="1"/>
  <c r="AC101" i="1"/>
  <c r="AK101" i="1" s="1"/>
  <c r="AE100" i="1"/>
  <c r="AI100" i="1" s="1"/>
  <c r="AD100" i="1"/>
  <c r="AL100" i="1" s="1"/>
  <c r="AC100" i="1"/>
  <c r="AK100" i="1" s="1"/>
  <c r="AK99" i="1"/>
  <c r="AI99" i="1"/>
  <c r="AG99" i="1"/>
  <c r="AE99" i="1"/>
  <c r="AM99" i="1" s="1"/>
  <c r="AD99" i="1"/>
  <c r="AC99" i="1"/>
  <c r="AM98" i="1"/>
  <c r="AE98" i="1"/>
  <c r="AI98" i="1" s="1"/>
  <c r="AD98" i="1"/>
  <c r="AL98" i="1" s="1"/>
  <c r="AC98" i="1"/>
  <c r="AG98" i="1" s="1"/>
  <c r="AM97" i="1"/>
  <c r="AI97" i="1"/>
  <c r="AE97" i="1"/>
  <c r="AD97" i="1"/>
  <c r="AH97" i="1" s="1"/>
  <c r="AC97" i="1"/>
  <c r="AH96" i="1"/>
  <c r="AE96" i="1"/>
  <c r="AI96" i="1" s="1"/>
  <c r="AD96" i="1"/>
  <c r="AL96" i="1" s="1"/>
  <c r="AC96" i="1"/>
  <c r="AK96" i="1" s="1"/>
  <c r="AL95" i="1"/>
  <c r="AE95" i="1"/>
  <c r="AM95" i="1" s="1"/>
  <c r="AD95" i="1"/>
  <c r="AH95" i="1" s="1"/>
  <c r="AC95" i="1"/>
  <c r="AK95" i="1" s="1"/>
  <c r="AE94" i="1"/>
  <c r="AI94" i="1" s="1"/>
  <c r="AD94" i="1"/>
  <c r="AL94" i="1" s="1"/>
  <c r="AC94" i="1"/>
  <c r="AK94" i="1" s="1"/>
  <c r="AL93" i="1"/>
  <c r="AK93" i="1"/>
  <c r="AE93" i="1"/>
  <c r="AM93" i="1" s="1"/>
  <c r="AD93" i="1"/>
  <c r="AH93" i="1" s="1"/>
  <c r="AC93" i="1"/>
  <c r="AG93" i="1" s="1"/>
  <c r="AE92" i="1"/>
  <c r="AI92" i="1" s="1"/>
  <c r="AD92" i="1"/>
  <c r="AL92" i="1" s="1"/>
  <c r="AC92" i="1"/>
  <c r="AE91" i="1"/>
  <c r="AM91" i="1" s="1"/>
  <c r="AD91" i="1"/>
  <c r="AC91" i="1"/>
  <c r="AK91" i="1" s="1"/>
  <c r="AA91" i="1"/>
  <c r="AI90" i="1"/>
  <c r="AE90" i="1"/>
  <c r="AD90" i="1"/>
  <c r="AL90" i="1" s="1"/>
  <c r="AC90" i="1"/>
  <c r="AG90" i="1" s="1"/>
  <c r="AE82" i="1"/>
  <c r="AA82" i="1"/>
  <c r="Y82" i="1"/>
  <c r="W82" i="1"/>
  <c r="S82" i="1"/>
  <c r="Q82" i="1"/>
  <c r="O82" i="1"/>
  <c r="M82" i="1"/>
  <c r="K82" i="1"/>
  <c r="I82" i="1"/>
  <c r="AM81" i="1"/>
  <c r="AI81" i="1"/>
  <c r="AH81" i="1"/>
  <c r="AE81" i="1"/>
  <c r="AD81" i="1"/>
  <c r="AL81" i="1" s="1"/>
  <c r="AC81" i="1"/>
  <c r="AK81" i="1" s="1"/>
  <c r="AM80" i="1"/>
  <c r="AL80" i="1"/>
  <c r="AH80" i="1"/>
  <c r="AE80" i="1"/>
  <c r="AI80" i="1" s="1"/>
  <c r="AD80" i="1"/>
  <c r="AC80" i="1"/>
  <c r="AI79" i="1"/>
  <c r="AH79" i="1"/>
  <c r="AH82" i="1" s="1"/>
  <c r="AE79" i="1"/>
  <c r="AM79" i="1" s="1"/>
  <c r="AD79" i="1"/>
  <c r="AC79" i="1"/>
  <c r="AK79" i="1" s="1"/>
  <c r="AA77" i="1"/>
  <c r="Y77" i="1"/>
  <c r="W77" i="1"/>
  <c r="S77" i="1"/>
  <c r="Q77" i="1"/>
  <c r="O77" i="1"/>
  <c r="M77" i="1"/>
  <c r="K77" i="1"/>
  <c r="I77" i="1"/>
  <c r="AK76" i="1"/>
  <c r="AI76" i="1"/>
  <c r="AH76" i="1"/>
  <c r="AG76" i="1"/>
  <c r="AE76" i="1"/>
  <c r="AM76" i="1" s="1"/>
  <c r="AD76" i="1"/>
  <c r="AL76" i="1" s="1"/>
  <c r="AC76" i="1"/>
  <c r="AC75" i="1"/>
  <c r="AC74" i="1"/>
  <c r="AM73" i="1"/>
  <c r="AH73" i="1"/>
  <c r="AE73" i="1"/>
  <c r="AI73" i="1" s="1"/>
  <c r="AD73" i="1"/>
  <c r="AL73" i="1" s="1"/>
  <c r="AC73" i="1"/>
  <c r="AK73" i="1" s="1"/>
  <c r="AK72" i="1"/>
  <c r="AI72" i="1"/>
  <c r="AE72" i="1"/>
  <c r="AM72" i="1" s="1"/>
  <c r="AD72" i="1"/>
  <c r="AL72" i="1" s="1"/>
  <c r="AC72" i="1"/>
  <c r="AM71" i="1"/>
  <c r="AL71" i="1"/>
  <c r="AH71" i="1"/>
  <c r="AE71" i="1"/>
  <c r="AD71" i="1"/>
  <c r="AD77" i="1" s="1"/>
  <c r="AC71" i="1"/>
  <c r="AK71" i="1" s="1"/>
  <c r="AA69" i="1"/>
  <c r="Y69" i="1"/>
  <c r="W69" i="1"/>
  <c r="S69" i="1"/>
  <c r="Q69" i="1"/>
  <c r="O69" i="1"/>
  <c r="M69" i="1"/>
  <c r="K69" i="1"/>
  <c r="I69" i="1"/>
  <c r="AL68" i="1"/>
  <c r="AK68" i="1"/>
  <c r="AH68" i="1"/>
  <c r="AG68" i="1"/>
  <c r="AE68" i="1"/>
  <c r="AI68" i="1" s="1"/>
  <c r="AD68" i="1"/>
  <c r="AC68" i="1"/>
  <c r="AM67" i="1"/>
  <c r="AL67" i="1"/>
  <c r="AK67" i="1"/>
  <c r="AI67" i="1"/>
  <c r="AI69" i="1" s="1"/>
  <c r="AE67" i="1"/>
  <c r="AD67" i="1"/>
  <c r="AD69" i="1" s="1"/>
  <c r="AC67" i="1"/>
  <c r="AG67" i="1" s="1"/>
  <c r="AA64" i="1"/>
  <c r="Y64" i="1"/>
  <c r="W64" i="1"/>
  <c r="S64" i="1"/>
  <c r="Q64" i="1"/>
  <c r="O64" i="1"/>
  <c r="M64" i="1"/>
  <c r="K64" i="1"/>
  <c r="I64" i="1"/>
  <c r="AH63" i="1"/>
  <c r="AG63" i="1"/>
  <c r="AE63" i="1"/>
  <c r="AI63" i="1" s="1"/>
  <c r="AD63" i="1"/>
  <c r="AL63" i="1" s="1"/>
  <c r="AC63" i="1"/>
  <c r="AK63" i="1" s="1"/>
  <c r="AI62" i="1"/>
  <c r="AE62" i="1"/>
  <c r="AM62" i="1" s="1"/>
  <c r="AD62" i="1"/>
  <c r="AC62" i="1"/>
  <c r="AA60" i="1"/>
  <c r="Y60" i="1"/>
  <c r="W60" i="1"/>
  <c r="S60" i="1"/>
  <c r="Q60" i="1"/>
  <c r="O60" i="1"/>
  <c r="M60" i="1"/>
  <c r="K60" i="1"/>
  <c r="AE59" i="1"/>
  <c r="AM59" i="1" s="1"/>
  <c r="AD59" i="1"/>
  <c r="AC59" i="1"/>
  <c r="AG59" i="1" s="1"/>
  <c r="AK58" i="1"/>
  <c r="AG58" i="1"/>
  <c r="AG60" i="1" s="1"/>
  <c r="AE58" i="1"/>
  <c r="AM58" i="1" s="1"/>
  <c r="AD58" i="1"/>
  <c r="AL58" i="1" s="1"/>
  <c r="AC58" i="1"/>
  <c r="I58" i="1"/>
  <c r="I60" i="1" s="1"/>
  <c r="AL57" i="1"/>
  <c r="AE57" i="1"/>
  <c r="AI57" i="1" s="1"/>
  <c r="AD57" i="1"/>
  <c r="AH57" i="1" s="1"/>
  <c r="AC57" i="1"/>
  <c r="AG57" i="1" s="1"/>
  <c r="AK56" i="1"/>
  <c r="AI56" i="1"/>
  <c r="AG56" i="1"/>
  <c r="AE56" i="1"/>
  <c r="AM56" i="1" s="1"/>
  <c r="AD56" i="1"/>
  <c r="AL56" i="1" s="1"/>
  <c r="AC56" i="1"/>
  <c r="AL55" i="1"/>
  <c r="AE55" i="1"/>
  <c r="AD55" i="1"/>
  <c r="AH55" i="1" s="1"/>
  <c r="AC55" i="1"/>
  <c r="AK55" i="1" s="1"/>
  <c r="AM54" i="1"/>
  <c r="AI54" i="1"/>
  <c r="AG54" i="1"/>
  <c r="AE54" i="1"/>
  <c r="AD54" i="1"/>
  <c r="AL54" i="1" s="1"/>
  <c r="AC54" i="1"/>
  <c r="AK54" i="1" s="1"/>
  <c r="AM53" i="1"/>
  <c r="AE53" i="1"/>
  <c r="AI53" i="1" s="1"/>
  <c r="AD53" i="1"/>
  <c r="AL53" i="1" s="1"/>
  <c r="AC53" i="1"/>
  <c r="AG53" i="1" s="1"/>
  <c r="AK52" i="1"/>
  <c r="AH52" i="1"/>
  <c r="AE52" i="1"/>
  <c r="AM52" i="1" s="1"/>
  <c r="AD52" i="1"/>
  <c r="AL52" i="1" s="1"/>
  <c r="AC52" i="1"/>
  <c r="AG52" i="1" s="1"/>
  <c r="AE51" i="1"/>
  <c r="AD51" i="1"/>
  <c r="AH51" i="1" s="1"/>
  <c r="AC51" i="1"/>
  <c r="AK51" i="1" s="1"/>
  <c r="AM50" i="1"/>
  <c r="AL50" i="1"/>
  <c r="AH50" i="1"/>
  <c r="AE50" i="1"/>
  <c r="AI50" i="1" s="1"/>
  <c r="AD50" i="1"/>
  <c r="AC50" i="1"/>
  <c r="AK50" i="1" s="1"/>
  <c r="AE49" i="1"/>
  <c r="AI49" i="1" s="1"/>
  <c r="AD49" i="1"/>
  <c r="AL49" i="1" s="1"/>
  <c r="AC49" i="1"/>
  <c r="AG49" i="1" s="1"/>
  <c r="Y47" i="1"/>
  <c r="Q47" i="1"/>
  <c r="AA46" i="1"/>
  <c r="Y46" i="1"/>
  <c r="W46" i="1"/>
  <c r="S46" i="1"/>
  <c r="Q46" i="1"/>
  <c r="O46" i="1"/>
  <c r="M46" i="1"/>
  <c r="K46" i="1"/>
  <c r="I46" i="1"/>
  <c r="I47" i="1" s="1"/>
  <c r="AI45" i="1"/>
  <c r="AE45" i="1"/>
  <c r="AM45" i="1" s="1"/>
  <c r="AD45" i="1"/>
  <c r="AD46" i="1" s="1"/>
  <c r="AC45" i="1"/>
  <c r="AK45" i="1" s="1"/>
  <c r="AM44" i="1"/>
  <c r="AE44" i="1"/>
  <c r="AI44" i="1" s="1"/>
  <c r="AD44" i="1"/>
  <c r="AH44" i="1" s="1"/>
  <c r="AC44" i="1"/>
  <c r="AG44" i="1" s="1"/>
  <c r="AE43" i="1"/>
  <c r="AM43" i="1" s="1"/>
  <c r="AD43" i="1"/>
  <c r="AL43" i="1" s="1"/>
  <c r="AC43" i="1"/>
  <c r="AK43" i="1" s="1"/>
  <c r="AE42" i="1"/>
  <c r="AD42" i="1"/>
  <c r="AH42" i="1" s="1"/>
  <c r="AC42" i="1"/>
  <c r="AK42" i="1" s="1"/>
  <c r="AE41" i="1"/>
  <c r="AM41" i="1" s="1"/>
  <c r="AD41" i="1"/>
  <c r="AL41" i="1" s="1"/>
  <c r="AC41" i="1"/>
  <c r="AK41" i="1" s="1"/>
  <c r="AM40" i="1"/>
  <c r="AL40" i="1"/>
  <c r="AH40" i="1"/>
  <c r="AE40" i="1"/>
  <c r="AD40" i="1"/>
  <c r="AC40" i="1"/>
  <c r="AK40" i="1" s="1"/>
  <c r="AE38" i="1"/>
  <c r="AD38" i="1"/>
  <c r="AA38" i="1"/>
  <c r="Y38" i="1"/>
  <c r="W38" i="1"/>
  <c r="S38" i="1"/>
  <c r="S47" i="1" s="1"/>
  <c r="Q38" i="1"/>
  <c r="O38" i="1"/>
  <c r="O47" i="1" s="1"/>
  <c r="M38" i="1"/>
  <c r="M47" i="1" s="1"/>
  <c r="K38" i="1"/>
  <c r="K47" i="1" s="1"/>
  <c r="I38" i="1"/>
  <c r="AM37" i="1"/>
  <c r="AL37" i="1"/>
  <c r="AK37" i="1"/>
  <c r="AE37" i="1"/>
  <c r="AI37" i="1" s="1"/>
  <c r="AD37" i="1"/>
  <c r="AH37" i="1" s="1"/>
  <c r="AC37" i="1"/>
  <c r="AG37" i="1" s="1"/>
  <c r="AK36" i="1"/>
  <c r="AI36" i="1"/>
  <c r="AG36" i="1"/>
  <c r="AE36" i="1"/>
  <c r="AM36" i="1" s="1"/>
  <c r="AD36" i="1"/>
  <c r="AL36" i="1" s="1"/>
  <c r="AC36" i="1"/>
  <c r="AL35" i="1"/>
  <c r="AE35" i="1"/>
  <c r="AD35" i="1"/>
  <c r="AH35" i="1" s="1"/>
  <c r="AC35" i="1"/>
  <c r="AK35" i="1" s="1"/>
  <c r="S32" i="1"/>
  <c r="Q32" i="1"/>
  <c r="O32" i="1"/>
  <c r="AA31" i="1"/>
  <c r="Y31" i="1"/>
  <c r="W31" i="1"/>
  <c r="S31" i="1"/>
  <c r="Q31" i="1"/>
  <c r="O31" i="1"/>
  <c r="M31" i="1"/>
  <c r="K31" i="1"/>
  <c r="I31" i="1"/>
  <c r="AI30" i="1"/>
  <c r="AH30" i="1"/>
  <c r="AG30" i="1"/>
  <c r="AE30" i="1"/>
  <c r="AM30" i="1" s="1"/>
  <c r="AD30" i="1"/>
  <c r="AL30" i="1" s="1"/>
  <c r="AC30" i="1"/>
  <c r="AK30" i="1" s="1"/>
  <c r="AE29" i="1"/>
  <c r="AD29" i="1"/>
  <c r="AH29" i="1" s="1"/>
  <c r="AC29" i="1"/>
  <c r="AG29" i="1" s="1"/>
  <c r="AM28" i="1"/>
  <c r="AL28" i="1"/>
  <c r="AI28" i="1"/>
  <c r="AH28" i="1"/>
  <c r="AE28" i="1"/>
  <c r="AD28" i="1"/>
  <c r="AC28" i="1"/>
  <c r="AK28" i="1" s="1"/>
  <c r="AA26" i="1"/>
  <c r="Y26" i="1"/>
  <c r="W26" i="1"/>
  <c r="S26" i="1"/>
  <c r="Q26" i="1"/>
  <c r="O26" i="1"/>
  <c r="M26" i="1"/>
  <c r="K26" i="1"/>
  <c r="I26" i="1"/>
  <c r="AL25" i="1"/>
  <c r="AI25" i="1"/>
  <c r="AH25" i="1"/>
  <c r="AE25" i="1"/>
  <c r="AM25" i="1" s="1"/>
  <c r="AD25" i="1"/>
  <c r="AC25" i="1"/>
  <c r="AK25" i="1" s="1"/>
  <c r="AM24" i="1"/>
  <c r="AE24" i="1"/>
  <c r="AI24" i="1" s="1"/>
  <c r="AI26" i="1" s="1"/>
  <c r="AD24" i="1"/>
  <c r="AD26" i="1" s="1"/>
  <c r="AC24" i="1"/>
  <c r="AG24" i="1" s="1"/>
  <c r="AI23" i="1"/>
  <c r="AH23" i="1"/>
  <c r="AE23" i="1"/>
  <c r="AM23" i="1" s="1"/>
  <c r="AD23" i="1"/>
  <c r="AL23" i="1" s="1"/>
  <c r="AC23" i="1"/>
  <c r="AK23" i="1" s="1"/>
  <c r="AA21" i="1"/>
  <c r="Y21" i="1"/>
  <c r="W21" i="1"/>
  <c r="S21" i="1"/>
  <c r="Q21" i="1"/>
  <c r="O21" i="1"/>
  <c r="M21" i="1"/>
  <c r="M32" i="1" s="1"/>
  <c r="K21" i="1"/>
  <c r="K32" i="1" s="1"/>
  <c r="I21" i="1"/>
  <c r="AI20" i="1"/>
  <c r="AH20" i="1"/>
  <c r="AE20" i="1"/>
  <c r="AM20" i="1" s="1"/>
  <c r="AD20" i="1"/>
  <c r="AL20" i="1" s="1"/>
  <c r="AC20" i="1"/>
  <c r="AG20" i="1" s="1"/>
  <c r="AL19" i="1"/>
  <c r="AK19" i="1"/>
  <c r="AE19" i="1"/>
  <c r="AD19" i="1"/>
  <c r="AH19" i="1" s="1"/>
  <c r="AC19" i="1"/>
  <c r="AG19" i="1" s="1"/>
  <c r="M19" i="1"/>
  <c r="AM18" i="1"/>
  <c r="AI18" i="1"/>
  <c r="AE18" i="1"/>
  <c r="AD18" i="1"/>
  <c r="AL18" i="1" s="1"/>
  <c r="AC18" i="1"/>
  <c r="AC21" i="1" s="1"/>
  <c r="AM17" i="1"/>
  <c r="AL17" i="1"/>
  <c r="AE17" i="1"/>
  <c r="AI17" i="1" s="1"/>
  <c r="AD17" i="1"/>
  <c r="AH17" i="1" s="1"/>
  <c r="AC17" i="1"/>
  <c r="AK17" i="1" s="1"/>
  <c r="AL16" i="1"/>
  <c r="AK16" i="1"/>
  <c r="AH16" i="1"/>
  <c r="AE16" i="1"/>
  <c r="AD16" i="1"/>
  <c r="AD21" i="1" s="1"/>
  <c r="AC16" i="1"/>
  <c r="AG16" i="1" s="1"/>
  <c r="AA13" i="1"/>
  <c r="Y13" i="1"/>
  <c r="S13" i="1"/>
  <c r="S83" i="1" s="1"/>
  <c r="S84" i="1" s="1"/>
  <c r="O13" i="1"/>
  <c r="M13" i="1"/>
  <c r="AA12" i="1"/>
  <c r="Y12" i="1"/>
  <c r="W12" i="1"/>
  <c r="W13" i="1" s="1"/>
  <c r="S12" i="1"/>
  <c r="Q12" i="1"/>
  <c r="Q13" i="1" s="1"/>
  <c r="O12" i="1"/>
  <c r="M12" i="1"/>
  <c r="K12" i="1"/>
  <c r="K13" i="1" s="1"/>
  <c r="I12" i="1"/>
  <c r="I13" i="1" s="1"/>
  <c r="AE11" i="1"/>
  <c r="AI11" i="1" s="1"/>
  <c r="AD11" i="1"/>
  <c r="AH11" i="1" s="1"/>
  <c r="AC11" i="1"/>
  <c r="AK11" i="1" s="1"/>
  <c r="AL10" i="1"/>
  <c r="AK10" i="1"/>
  <c r="AH10" i="1"/>
  <c r="AE10" i="1"/>
  <c r="AM10" i="1" s="1"/>
  <c r="AD10" i="1"/>
  <c r="AC10" i="1"/>
  <c r="AG10" i="1" s="1"/>
  <c r="AL9" i="1"/>
  <c r="AH9" i="1"/>
  <c r="AE9" i="1"/>
  <c r="AI9" i="1" s="1"/>
  <c r="AD9" i="1"/>
  <c r="AC9" i="1"/>
  <c r="AK9" i="1" s="1"/>
  <c r="AC8" i="1"/>
  <c r="AK7" i="1"/>
  <c r="AI7" i="1"/>
  <c r="AE7" i="1"/>
  <c r="AM7" i="1" s="1"/>
  <c r="AD7" i="1"/>
  <c r="AD12" i="1" s="1"/>
  <c r="AD13" i="1" s="1"/>
  <c r="AC7" i="1"/>
  <c r="AG69" i="1" l="1"/>
  <c r="AI93" i="1"/>
  <c r="AG141" i="1"/>
  <c r="AG142" i="1" s="1"/>
  <c r="AI153" i="1"/>
  <c r="AI161" i="1" s="1"/>
  <c r="AI155" i="1"/>
  <c r="AH167" i="1"/>
  <c r="AG183" i="1"/>
  <c r="AM197" i="1"/>
  <c r="AI205" i="1"/>
  <c r="AG226" i="1"/>
  <c r="AG253" i="1"/>
  <c r="AM266" i="1"/>
  <c r="AH270" i="1"/>
  <c r="AH45" i="1"/>
  <c r="AL119" i="1"/>
  <c r="AH123" i="1"/>
  <c r="AL257" i="1"/>
  <c r="AM270" i="1"/>
  <c r="AH338" i="1"/>
  <c r="AG340" i="1"/>
  <c r="AG43" i="1"/>
  <c r="AI52" i="1"/>
  <c r="AH54" i="1"/>
  <c r="AG71" i="1"/>
  <c r="AG79" i="1"/>
  <c r="AG91" i="1"/>
  <c r="AG95" i="1"/>
  <c r="AL97" i="1"/>
  <c r="AG101" i="1"/>
  <c r="AM167" i="1"/>
  <c r="AI169" i="1"/>
  <c r="AI171" i="1"/>
  <c r="AL174" i="1"/>
  <c r="AG249" i="1"/>
  <c r="AG317" i="1"/>
  <c r="AI338" i="1"/>
  <c r="AC38" i="1"/>
  <c r="AL45" i="1"/>
  <c r="AI101" i="1"/>
  <c r="AK121" i="1"/>
  <c r="AK171" i="1"/>
  <c r="AL200" i="1"/>
  <c r="AI95" i="1"/>
  <c r="AI105" i="1"/>
  <c r="AL331" i="1"/>
  <c r="AD47" i="1"/>
  <c r="AK20" i="1"/>
  <c r="AK29" i="1"/>
  <c r="AH41" i="1"/>
  <c r="AL105" i="1"/>
  <c r="AK107" i="1"/>
  <c r="AG133" i="1"/>
  <c r="AK135" i="1"/>
  <c r="AM158" i="1"/>
  <c r="AG166" i="1"/>
  <c r="AG179" i="1"/>
  <c r="AK197" i="1"/>
  <c r="AG196" i="1"/>
  <c r="AL220" i="1"/>
  <c r="AK264" i="1"/>
  <c r="AH267" i="1"/>
  <c r="AH272" i="1" s="1"/>
  <c r="AI336" i="1"/>
  <c r="AG41" i="1"/>
  <c r="AH58" i="1"/>
  <c r="AH107" i="1"/>
  <c r="AG147" i="1"/>
  <c r="AG51" i="1"/>
  <c r="AM112" i="1"/>
  <c r="AG120" i="1"/>
  <c r="AK154" i="1"/>
  <c r="AI166" i="1"/>
  <c r="AG177" i="1"/>
  <c r="AI179" i="1"/>
  <c r="AH207" i="1"/>
  <c r="AK227" i="1"/>
  <c r="AK228" i="1" s="1"/>
  <c r="AC234" i="1"/>
  <c r="AG241" i="1"/>
  <c r="AI267" i="1"/>
  <c r="AI269" i="1"/>
  <c r="AI271" i="1"/>
  <c r="AG310" i="1"/>
  <c r="AG333" i="1"/>
  <c r="AL336" i="1"/>
  <c r="AI43" i="1"/>
  <c r="AL113" i="1"/>
  <c r="AK158" i="1"/>
  <c r="AI41" i="1"/>
  <c r="AG9" i="1"/>
  <c r="AG23" i="1"/>
  <c r="AH175" i="1"/>
  <c r="AH199" i="1"/>
  <c r="AG201" i="1"/>
  <c r="AH204" i="1"/>
  <c r="AK207" i="1"/>
  <c r="AG233" i="1"/>
  <c r="AC251" i="1"/>
  <c r="AG248" i="1"/>
  <c r="AK256" i="1"/>
  <c r="AC257" i="1"/>
  <c r="AG279" i="1"/>
  <c r="AG292" i="1"/>
  <c r="AG320" i="1"/>
  <c r="Y343" i="1"/>
  <c r="AH333" i="1"/>
  <c r="AG339" i="1"/>
  <c r="AG11" i="1"/>
  <c r="AG17" i="1"/>
  <c r="AM49" i="1"/>
  <c r="AH53" i="1"/>
  <c r="AH92" i="1"/>
  <c r="AG94" i="1"/>
  <c r="AH98" i="1"/>
  <c r="AG100" i="1"/>
  <c r="AG117" i="1"/>
  <c r="AH120" i="1"/>
  <c r="AG122" i="1"/>
  <c r="AG124" i="1"/>
  <c r="AG126" i="1"/>
  <c r="AG145" i="1"/>
  <c r="AG168" i="1"/>
  <c r="AG170" i="1"/>
  <c r="AE46" i="1"/>
  <c r="AE47" i="1" s="1"/>
  <c r="AL44" i="1"/>
  <c r="AL51" i="1"/>
  <c r="AK53" i="1"/>
  <c r="AK57" i="1"/>
  <c r="AH90" i="1"/>
  <c r="AM92" i="1"/>
  <c r="AH94" i="1"/>
  <c r="AG96" i="1"/>
  <c r="AK98" i="1"/>
  <c r="AH100" i="1"/>
  <c r="AI120" i="1"/>
  <c r="AH124" i="1"/>
  <c r="AK140" i="1"/>
  <c r="AK142" i="1" s="1"/>
  <c r="AD161" i="1"/>
  <c r="AM166" i="1"/>
  <c r="AH168" i="1"/>
  <c r="AG194" i="1"/>
  <c r="AG197" i="1" s="1"/>
  <c r="AC262" i="1"/>
  <c r="AK260" i="1"/>
  <c r="AK262" i="1" s="1"/>
  <c r="AG329" i="1"/>
  <c r="AH31" i="1"/>
  <c r="AH262" i="1"/>
  <c r="AM339" i="1"/>
  <c r="AI91" i="1"/>
  <c r="AC31" i="1"/>
  <c r="AC32" i="1" s="1"/>
  <c r="AM57" i="1"/>
  <c r="AM94" i="1"/>
  <c r="AM100" i="1"/>
  <c r="AM168" i="1"/>
  <c r="AC245" i="1"/>
  <c r="AH331" i="1"/>
  <c r="W343" i="1"/>
  <c r="W294" i="1"/>
  <c r="AH282" i="1"/>
  <c r="W273" i="1"/>
  <c r="AG228" i="1"/>
  <c r="W235" i="1"/>
  <c r="AI197" i="1"/>
  <c r="AG186" i="1"/>
  <c r="W210" i="1"/>
  <c r="AI173" i="1"/>
  <c r="AI137" i="1"/>
  <c r="W128" i="1"/>
  <c r="AA47" i="1"/>
  <c r="W47" i="1"/>
  <c r="W32" i="1"/>
  <c r="AA186" i="1"/>
  <c r="AA343" i="1"/>
  <c r="AA294" i="1"/>
  <c r="AA114" i="1"/>
  <c r="AA128" i="1" s="1"/>
  <c r="AA32" i="1"/>
  <c r="AA273" i="1"/>
  <c r="AA173" i="1"/>
  <c r="AA137" i="1"/>
  <c r="AA162" i="1" s="1"/>
  <c r="AG26" i="1"/>
  <c r="AD32" i="1"/>
  <c r="K83" i="1"/>
  <c r="K84" i="1" s="1"/>
  <c r="AH24" i="1"/>
  <c r="AH26" i="1" s="1"/>
  <c r="AE12" i="1"/>
  <c r="AE13" i="1" s="1"/>
  <c r="I32" i="1"/>
  <c r="I83" i="1" s="1"/>
  <c r="I84" i="1" s="1"/>
  <c r="AC26" i="1"/>
  <c r="AL24" i="1"/>
  <c r="AE31" i="1"/>
  <c r="AC46" i="1"/>
  <c r="AC47" i="1" s="1"/>
  <c r="AG40" i="1"/>
  <c r="AG46" i="1" s="1"/>
  <c r="AH43" i="1"/>
  <c r="AG50" i="1"/>
  <c r="AG55" i="1"/>
  <c r="AD82" i="1"/>
  <c r="AL79" i="1"/>
  <c r="AL82" i="1" s="1"/>
  <c r="AL83" i="1" s="1"/>
  <c r="AL84" i="1" s="1"/>
  <c r="W162" i="1"/>
  <c r="AM11" i="1"/>
  <c r="AM19" i="1"/>
  <c r="AI19" i="1"/>
  <c r="AG28" i="1"/>
  <c r="AG31" i="1" s="1"/>
  <c r="AH36" i="1"/>
  <c r="AH38" i="1" s="1"/>
  <c r="AG45" i="1"/>
  <c r="AM82" i="1"/>
  <c r="AM83" i="1" s="1"/>
  <c r="AM84" i="1" s="1"/>
  <c r="AE127" i="1"/>
  <c r="AI116" i="1"/>
  <c r="AM116" i="1"/>
  <c r="AM127" i="1" s="1"/>
  <c r="AI121" i="1"/>
  <c r="AM121" i="1"/>
  <c r="AI125" i="1"/>
  <c r="AM125" i="1"/>
  <c r="AH137" i="1"/>
  <c r="AM29" i="1"/>
  <c r="AI29" i="1"/>
  <c r="AI31" i="1" s="1"/>
  <c r="AE60" i="1"/>
  <c r="AI58" i="1"/>
  <c r="AE21" i="1"/>
  <c r="AM16" i="1"/>
  <c r="AL62" i="1"/>
  <c r="AD64" i="1"/>
  <c r="AH62" i="1"/>
  <c r="AE64" i="1"/>
  <c r="AI10" i="1"/>
  <c r="AI12" i="1" s="1"/>
  <c r="AI13" i="1" s="1"/>
  <c r="AM42" i="1"/>
  <c r="AI42" i="1"/>
  <c r="AC60" i="1"/>
  <c r="AG72" i="1"/>
  <c r="AC77" i="1"/>
  <c r="AH197" i="1"/>
  <c r="AI16" i="1"/>
  <c r="AI21" i="1" s="1"/>
  <c r="AG25" i="1"/>
  <c r="AM35" i="1"/>
  <c r="AI35" i="1"/>
  <c r="AI38" i="1" s="1"/>
  <c r="AG42" i="1"/>
  <c r="AH146" i="1"/>
  <c r="AL146" i="1"/>
  <c r="M83" i="1"/>
  <c r="M84" i="1" s="1"/>
  <c r="AI107" i="1"/>
  <c r="O83" i="1"/>
  <c r="O84" i="1" s="1"/>
  <c r="AH49" i="1"/>
  <c r="AI59" i="1"/>
  <c r="AM63" i="1"/>
  <c r="AC69" i="1"/>
  <c r="AG35" i="1"/>
  <c r="AG38" i="1" s="1"/>
  <c r="AK49" i="1"/>
  <c r="AK59" i="1"/>
  <c r="AE69" i="1"/>
  <c r="AK80" i="1"/>
  <c r="AK82" i="1" s="1"/>
  <c r="AK83" i="1" s="1"/>
  <c r="AK84" i="1" s="1"/>
  <c r="AG80" i="1"/>
  <c r="AG82" i="1" s="1"/>
  <c r="AC82" i="1"/>
  <c r="AK106" i="1"/>
  <c r="AG106" i="1"/>
  <c r="AH117" i="1"/>
  <c r="AL117" i="1"/>
  <c r="AL127" i="1" s="1"/>
  <c r="AD127" i="1"/>
  <c r="AL122" i="1"/>
  <c r="AH122" i="1"/>
  <c r="AH126" i="1"/>
  <c r="AL126" i="1"/>
  <c r="I162" i="1"/>
  <c r="I344" i="1" s="1"/>
  <c r="AD60" i="1"/>
  <c r="AL59" i="1"/>
  <c r="AH59" i="1"/>
  <c r="AH60" i="1" s="1"/>
  <c r="AG92" i="1"/>
  <c r="AK92" i="1"/>
  <c r="AK18" i="1"/>
  <c r="AG18" i="1"/>
  <c r="AG21" i="1" s="1"/>
  <c r="Q83" i="1"/>
  <c r="Q84" i="1" s="1"/>
  <c r="AH18" i="1"/>
  <c r="AH21" i="1" s="1"/>
  <c r="Y32" i="1"/>
  <c r="Y83" i="1" s="1"/>
  <c r="Y84" i="1" s="1"/>
  <c r="AL42" i="1"/>
  <c r="AK44" i="1"/>
  <c r="AM51" i="1"/>
  <c r="AI51" i="1"/>
  <c r="AH56" i="1"/>
  <c r="AC64" i="1"/>
  <c r="AG62" i="1"/>
  <c r="AM68" i="1"/>
  <c r="M148" i="1"/>
  <c r="M162" i="1" s="1"/>
  <c r="AE144" i="1"/>
  <c r="AD144" i="1"/>
  <c r="AC144" i="1"/>
  <c r="AG97" i="1"/>
  <c r="AK97" i="1"/>
  <c r="AI71" i="1"/>
  <c r="AI77" i="1" s="1"/>
  <c r="AE77" i="1"/>
  <c r="AH99" i="1"/>
  <c r="AL99" i="1"/>
  <c r="AG7" i="1"/>
  <c r="AC12" i="1"/>
  <c r="AC13" i="1" s="1"/>
  <c r="AM9" i="1"/>
  <c r="AK24" i="1"/>
  <c r="AD31" i="1"/>
  <c r="AL29" i="1"/>
  <c r="AM55" i="1"/>
  <c r="AI55" i="1"/>
  <c r="AK62" i="1"/>
  <c r="AH91" i="1"/>
  <c r="AL91" i="1"/>
  <c r="AH101" i="1"/>
  <c r="AL101" i="1"/>
  <c r="AM111" i="1"/>
  <c r="AL111" i="1"/>
  <c r="AG134" i="1"/>
  <c r="AG137" i="1" s="1"/>
  <c r="AK134" i="1"/>
  <c r="AI142" i="1"/>
  <c r="AL7" i="1"/>
  <c r="AH7" i="1"/>
  <c r="AH12" i="1" s="1"/>
  <c r="AH13" i="1" s="1"/>
  <c r="AL11" i="1"/>
  <c r="AG73" i="1"/>
  <c r="AL109" i="1"/>
  <c r="AC127" i="1"/>
  <c r="AG116" i="1"/>
  <c r="AM185" i="1"/>
  <c r="AI185" i="1"/>
  <c r="M273" i="1"/>
  <c r="AE26" i="1"/>
  <c r="AI40" i="1"/>
  <c r="AH67" i="1"/>
  <c r="AH69" i="1" s="1"/>
  <c r="AK123" i="1"/>
  <c r="AM140" i="1"/>
  <c r="AM146" i="1"/>
  <c r="AL158" i="1"/>
  <c r="AL161" i="1" s="1"/>
  <c r="S210" i="1"/>
  <c r="AM177" i="1"/>
  <c r="AM180" i="1" s="1"/>
  <c r="AK191" i="1"/>
  <c r="AE192" i="1"/>
  <c r="O209" i="1"/>
  <c r="AD202" i="1"/>
  <c r="AE202" i="1"/>
  <c r="AC202" i="1"/>
  <c r="AC209" i="1" s="1"/>
  <c r="AL208" i="1"/>
  <c r="AA220" i="1"/>
  <c r="AA235" i="1" s="1"/>
  <c r="AM253" i="1"/>
  <c r="AM257" i="1" s="1"/>
  <c r="AE257" i="1"/>
  <c r="AI253" i="1"/>
  <c r="AI257" i="1" s="1"/>
  <c r="AG277" i="1"/>
  <c r="AG282" i="1" s="1"/>
  <c r="AK277" i="1"/>
  <c r="AE161" i="1"/>
  <c r="AH196" i="1"/>
  <c r="AD197" i="1"/>
  <c r="AI249" i="1"/>
  <c r="AI251" i="1" s="1"/>
  <c r="AE251" i="1"/>
  <c r="AM249" i="1"/>
  <c r="AM251" i="1" s="1"/>
  <c r="AH292" i="1"/>
  <c r="AL292" i="1"/>
  <c r="AL293" i="1" s="1"/>
  <c r="AL294" i="1" s="1"/>
  <c r="AD293" i="1"/>
  <c r="AD294" i="1" s="1"/>
  <c r="S344" i="1"/>
  <c r="S345" i="1" s="1"/>
  <c r="S346" i="1" s="1"/>
  <c r="AH145" i="1"/>
  <c r="AH155" i="1"/>
  <c r="AM160" i="1"/>
  <c r="AK173" i="1"/>
  <c r="AI262" i="1"/>
  <c r="AD262" i="1"/>
  <c r="AE282" i="1"/>
  <c r="AC311" i="1"/>
  <c r="AG307" i="1"/>
  <c r="AK307" i="1"/>
  <c r="AK311" i="1" s="1"/>
  <c r="AI82" i="1"/>
  <c r="AK116" i="1"/>
  <c r="AK125" i="1"/>
  <c r="AM150" i="1"/>
  <c r="AM151" i="1" s="1"/>
  <c r="AE151" i="1"/>
  <c r="AD173" i="1"/>
  <c r="AC180" i="1"/>
  <c r="AI176" i="1"/>
  <c r="AK204" i="1"/>
  <c r="AM217" i="1"/>
  <c r="AM220" i="1" s="1"/>
  <c r="AI217" i="1"/>
  <c r="AK254" i="1"/>
  <c r="AK257" i="1" s="1"/>
  <c r="AG254" i="1"/>
  <c r="AI305" i="1"/>
  <c r="AE311" i="1"/>
  <c r="AM305" i="1"/>
  <c r="AM311" i="1" s="1"/>
  <c r="AC114" i="1"/>
  <c r="AC137" i="1"/>
  <c r="AG169" i="1"/>
  <c r="AG173" i="1" s="1"/>
  <c r="AK176" i="1"/>
  <c r="AK180" i="1" s="1"/>
  <c r="AI182" i="1"/>
  <c r="AE186" i="1"/>
  <c r="AM182" i="1"/>
  <c r="AM186" i="1" s="1"/>
  <c r="AM204" i="1"/>
  <c r="AL227" i="1"/>
  <c r="AL228" i="1" s="1"/>
  <c r="AH227" i="1"/>
  <c r="AE245" i="1"/>
  <c r="AM239" i="1"/>
  <c r="AI239" i="1"/>
  <c r="AI245" i="1" s="1"/>
  <c r="AL139" i="1"/>
  <c r="AM192" i="1"/>
  <c r="AI207" i="1"/>
  <c r="AM207" i="1"/>
  <c r="AD137" i="1"/>
  <c r="AK136" i="1"/>
  <c r="AE137" i="1"/>
  <c r="AM139" i="1"/>
  <c r="AM142" i="1" s="1"/>
  <c r="AD142" i="1"/>
  <c r="AG156" i="1"/>
  <c r="AG161" i="1" s="1"/>
  <c r="AK156" i="1"/>
  <c r="AE180" i="1"/>
  <c r="AH186" i="1"/>
  <c r="AG192" i="1"/>
  <c r="AL196" i="1"/>
  <c r="AL197" i="1" s="1"/>
  <c r="AH203" i="1"/>
  <c r="AL203" i="1"/>
  <c r="AL244" i="1"/>
  <c r="AH244" i="1"/>
  <c r="AM262" i="1"/>
  <c r="AC321" i="1"/>
  <c r="AK316" i="1"/>
  <c r="AG316" i="1"/>
  <c r="Y114" i="1"/>
  <c r="Y128" i="1" s="1"/>
  <c r="Y344" i="1" s="1"/>
  <c r="AH72" i="1"/>
  <c r="AH77" i="1" s="1"/>
  <c r="AG81" i="1"/>
  <c r="AE114" i="1"/>
  <c r="AE128" i="1" s="1"/>
  <c r="AM96" i="1"/>
  <c r="AM109" i="1"/>
  <c r="AD114" i="1"/>
  <c r="AD128" i="1" s="1"/>
  <c r="AK119" i="1"/>
  <c r="AM133" i="1"/>
  <c r="AL141" i="1"/>
  <c r="AH154" i="1"/>
  <c r="AH161" i="1" s="1"/>
  <c r="AH166" i="1"/>
  <c r="AG175" i="1"/>
  <c r="AK178" i="1"/>
  <c r="AK184" i="1"/>
  <c r="AI188" i="1"/>
  <c r="AI192" i="1" s="1"/>
  <c r="AL241" i="1"/>
  <c r="AK250" i="1"/>
  <c r="AK251" i="1" s="1"/>
  <c r="AG250" i="1"/>
  <c r="AG251" i="1" s="1"/>
  <c r="AL321" i="1"/>
  <c r="AL201" i="1"/>
  <c r="AC220" i="1"/>
  <c r="AK214" i="1"/>
  <c r="AG214" i="1"/>
  <c r="AK219" i="1"/>
  <c r="AG219" i="1"/>
  <c r="AG240" i="1"/>
  <c r="AK240" i="1"/>
  <c r="AH110" i="1"/>
  <c r="AL110" i="1"/>
  <c r="AH189" i="1"/>
  <c r="AL189" i="1"/>
  <c r="AL192" i="1" s="1"/>
  <c r="AI199" i="1"/>
  <c r="AD220" i="1"/>
  <c r="AH214" i="1"/>
  <c r="AH220" i="1" s="1"/>
  <c r="AD251" i="1"/>
  <c r="AH247" i="1"/>
  <c r="AH251" i="1" s="1"/>
  <c r="AL171" i="1"/>
  <c r="AL173" i="1" s="1"/>
  <c r="AL183" i="1"/>
  <c r="AL186" i="1" s="1"/>
  <c r="AH183" i="1"/>
  <c r="AE220" i="1"/>
  <c r="AL242" i="1"/>
  <c r="AH242" i="1"/>
  <c r="AH245" i="1" s="1"/>
  <c r="AL327" i="1"/>
  <c r="AL103" i="1"/>
  <c r="AL137" i="1"/>
  <c r="AM132" i="1"/>
  <c r="O162" i="1"/>
  <c r="O344" i="1" s="1"/>
  <c r="AC142" i="1"/>
  <c r="AK146" i="1"/>
  <c r="AM156" i="1"/>
  <c r="AM161" i="1" s="1"/>
  <c r="AD180" i="1"/>
  <c r="AC186" i="1"/>
  <c r="AH201" i="1"/>
  <c r="K273" i="1"/>
  <c r="AM278" i="1"/>
  <c r="AC206" i="1"/>
  <c r="AE206" i="1"/>
  <c r="AD206" i="1"/>
  <c r="AL233" i="1"/>
  <c r="AG311" i="1"/>
  <c r="AM90" i="1"/>
  <c r="O210" i="1"/>
  <c r="AK189" i="1"/>
  <c r="AK192" i="1" s="1"/>
  <c r="AK217" i="1"/>
  <c r="AG217" i="1"/>
  <c r="AM268" i="1"/>
  <c r="AI268" i="1"/>
  <c r="AL271" i="1"/>
  <c r="AK289" i="1"/>
  <c r="AK293" i="1" s="1"/>
  <c r="AK301" i="1"/>
  <c r="Q343" i="1"/>
  <c r="Q344" i="1" s="1"/>
  <c r="AM327" i="1"/>
  <c r="AM325" i="1"/>
  <c r="AI325" i="1"/>
  <c r="AI327" i="1" s="1"/>
  <c r="AM329" i="1"/>
  <c r="AM331" i="1" s="1"/>
  <c r="AE331" i="1"/>
  <c r="AI329" i="1"/>
  <c r="AI331" i="1" s="1"/>
  <c r="AM333" i="1"/>
  <c r="AE342" i="1"/>
  <c r="AI333" i="1"/>
  <c r="AK160" i="1"/>
  <c r="AC161" i="1"/>
  <c r="AM170" i="1"/>
  <c r="AM173" i="1" s="1"/>
  <c r="AL177" i="1"/>
  <c r="AL180" i="1" s="1"/>
  <c r="AK239" i="1"/>
  <c r="AG239" i="1"/>
  <c r="AK266" i="1"/>
  <c r="AM277" i="1"/>
  <c r="AI277" i="1"/>
  <c r="AI282" i="1" s="1"/>
  <c r="AK281" i="1"/>
  <c r="AC293" i="1"/>
  <c r="AC294" i="1" s="1"/>
  <c r="AG287" i="1"/>
  <c r="AE321" i="1"/>
  <c r="AE343" i="1" s="1"/>
  <c r="AE298" i="1"/>
  <c r="AC298" i="1"/>
  <c r="M303" i="1"/>
  <c r="M312" i="1" s="1"/>
  <c r="S312" i="1"/>
  <c r="AE272" i="1"/>
  <c r="AI264" i="1"/>
  <c r="I294" i="1"/>
  <c r="AM287" i="1"/>
  <c r="AM293" i="1" s="1"/>
  <c r="AI287" i="1"/>
  <c r="AI293" i="1" s="1"/>
  <c r="AE293" i="1"/>
  <c r="AD298" i="1"/>
  <c r="AM321" i="1"/>
  <c r="AI175" i="1"/>
  <c r="AH179" i="1"/>
  <c r="AH180" i="1" s="1"/>
  <c r="AK182" i="1"/>
  <c r="AH188" i="1"/>
  <c r="AD192" i="1"/>
  <c r="AM201" i="1"/>
  <c r="AE222" i="1"/>
  <c r="AC222" i="1"/>
  <c r="AC228" i="1"/>
  <c r="AE231" i="1"/>
  <c r="AE234" i="1" s="1"/>
  <c r="AD231" i="1"/>
  <c r="O234" i="1"/>
  <c r="O235" i="1" s="1"/>
  <c r="O273" i="1"/>
  <c r="AE262" i="1"/>
  <c r="AM260" i="1"/>
  <c r="AK270" i="1"/>
  <c r="K294" i="1"/>
  <c r="AH293" i="1"/>
  <c r="AK302" i="1"/>
  <c r="AG302" i="1"/>
  <c r="AI310" i="1"/>
  <c r="AL318" i="1"/>
  <c r="AD321" i="1"/>
  <c r="AG290" i="1"/>
  <c r="AH324" i="1"/>
  <c r="AE337" i="1"/>
  <c r="AC337" i="1"/>
  <c r="AC173" i="1"/>
  <c r="AL185" i="1"/>
  <c r="AI220" i="1"/>
  <c r="AG231" i="1"/>
  <c r="AG234" i="1" s="1"/>
  <c r="S273" i="1"/>
  <c r="AL306" i="1"/>
  <c r="AH306" i="1"/>
  <c r="AH311" i="1" s="1"/>
  <c r="K342" i="1"/>
  <c r="K343" i="1" s="1"/>
  <c r="AD334" i="1"/>
  <c r="AC334" i="1"/>
  <c r="S235" i="1"/>
  <c r="AD222" i="1"/>
  <c r="AD228" i="1"/>
  <c r="AH226" i="1"/>
  <c r="AH228" i="1" s="1"/>
  <c r="AM264" i="1"/>
  <c r="AM272" i="1" s="1"/>
  <c r="AM317" i="1"/>
  <c r="AI317" i="1"/>
  <c r="AI321" i="1" s="1"/>
  <c r="AD327" i="1"/>
  <c r="AD337" i="1"/>
  <c r="AM334" i="1"/>
  <c r="AI334" i="1"/>
  <c r="AK90" i="1"/>
  <c r="AG199" i="1"/>
  <c r="AI228" i="1"/>
  <c r="AM240" i="1"/>
  <c r="AI240" i="1"/>
  <c r="AH253" i="1"/>
  <c r="AH257" i="1" s="1"/>
  <c r="AD257" i="1"/>
  <c r="AL261" i="1"/>
  <c r="AL262" i="1" s="1"/>
  <c r="AL269" i="1"/>
  <c r="AL272" i="1" s="1"/>
  <c r="AD272" i="1"/>
  <c r="AK278" i="1"/>
  <c r="AL284" i="1"/>
  <c r="AL285" i="1" s="1"/>
  <c r="I312" i="1"/>
  <c r="AD311" i="1"/>
  <c r="M343" i="1"/>
  <c r="AH323" i="1"/>
  <c r="AL310" i="1"/>
  <c r="AG318" i="1"/>
  <c r="AK319" i="1"/>
  <c r="AK323" i="1"/>
  <c r="AK327" i="1" s="1"/>
  <c r="AG326" i="1"/>
  <c r="AG327" i="1" s="1"/>
  <c r="AG330" i="1"/>
  <c r="AG336" i="1"/>
  <c r="AK338" i="1"/>
  <c r="AG341" i="1"/>
  <c r="AA217" i="1"/>
  <c r="AD245" i="1"/>
  <c r="AH341" i="1"/>
  <c r="AI341" i="1"/>
  <c r="AC327" i="1"/>
  <c r="AK330" i="1"/>
  <c r="AK331" i="1" s="1"/>
  <c r="AH340" i="1"/>
  <c r="AM284" i="1"/>
  <c r="AM285" i="1" s="1"/>
  <c r="AI340" i="1"/>
  <c r="AH316" i="1"/>
  <c r="AH321" i="1" s="1"/>
  <c r="AH339" i="1"/>
  <c r="AC272" i="1"/>
  <c r="AC273" i="1" s="1"/>
  <c r="AK114" i="1" l="1"/>
  <c r="AG245" i="1"/>
  <c r="AG331" i="1"/>
  <c r="AL245" i="1"/>
  <c r="AL273" i="1" s="1"/>
  <c r="AI114" i="1"/>
  <c r="AH46" i="1"/>
  <c r="AG180" i="1"/>
  <c r="AK137" i="1"/>
  <c r="AL311" i="1"/>
  <c r="AM137" i="1"/>
  <c r="AM162" i="1" s="1"/>
  <c r="AH173" i="1"/>
  <c r="AK161" i="1"/>
  <c r="AM245" i="1"/>
  <c r="AI46" i="1"/>
  <c r="AI47" i="1" s="1"/>
  <c r="AE209" i="1"/>
  <c r="AE210" i="1" s="1"/>
  <c r="AC128" i="1"/>
  <c r="AK282" i="1"/>
  <c r="AK294" i="1" s="1"/>
  <c r="M344" i="1"/>
  <c r="AG257" i="1"/>
  <c r="AG127" i="1"/>
  <c r="AG12" i="1"/>
  <c r="AG13" i="1" s="1"/>
  <c r="AK272" i="1"/>
  <c r="AG114" i="1"/>
  <c r="AL114" i="1"/>
  <c r="AL128" i="1" s="1"/>
  <c r="AH114" i="1"/>
  <c r="AD83" i="1"/>
  <c r="AD84" i="1" s="1"/>
  <c r="AH294" i="1"/>
  <c r="AH273" i="1"/>
  <c r="AG220" i="1"/>
  <c r="AH192" i="1"/>
  <c r="AI186" i="1"/>
  <c r="AI180" i="1"/>
  <c r="W344" i="1"/>
  <c r="AH127" i="1"/>
  <c r="AI127" i="1"/>
  <c r="AA83" i="1"/>
  <c r="AA84" i="1" s="1"/>
  <c r="W83" i="1"/>
  <c r="W84" i="1" s="1"/>
  <c r="AH32" i="1"/>
  <c r="Y345" i="1"/>
  <c r="Y346" i="1" s="1"/>
  <c r="AA210" i="1"/>
  <c r="AA344" i="1" s="1"/>
  <c r="K344" i="1"/>
  <c r="K345" i="1" s="1"/>
  <c r="K346" i="1" s="1"/>
  <c r="I345" i="1"/>
  <c r="I346" i="1" s="1"/>
  <c r="AM273" i="1"/>
  <c r="AH337" i="1"/>
  <c r="AL337" i="1"/>
  <c r="AK334" i="1"/>
  <c r="AK342" i="1" s="1"/>
  <c r="AC342" i="1"/>
  <c r="AC343" i="1" s="1"/>
  <c r="AG334" i="1"/>
  <c r="AM337" i="1"/>
  <c r="AM342" i="1" s="1"/>
  <c r="AM343" i="1" s="1"/>
  <c r="AI337" i="1"/>
  <c r="AI342" i="1" s="1"/>
  <c r="AI343" i="1" s="1"/>
  <c r="AK222" i="1"/>
  <c r="AK224" i="1" s="1"/>
  <c r="AC224" i="1"/>
  <c r="AG222" i="1"/>
  <c r="AG224" i="1" s="1"/>
  <c r="AD303" i="1"/>
  <c r="AD312" i="1" s="1"/>
  <c r="AL298" i="1"/>
  <c r="AL303" i="1" s="1"/>
  <c r="AL312" i="1" s="1"/>
  <c r="AH298" i="1"/>
  <c r="AH303" i="1" s="1"/>
  <c r="AH312" i="1" s="1"/>
  <c r="AM298" i="1"/>
  <c r="AM303" i="1" s="1"/>
  <c r="AM312" i="1" s="1"/>
  <c r="AI298" i="1"/>
  <c r="AI303" i="1" s="1"/>
  <c r="AE303" i="1"/>
  <c r="AE312" i="1" s="1"/>
  <c r="AL144" i="1"/>
  <c r="AL148" i="1" s="1"/>
  <c r="AH144" i="1"/>
  <c r="AH148" i="1" s="1"/>
  <c r="AH162" i="1" s="1"/>
  <c r="AD148" i="1"/>
  <c r="AD162" i="1" s="1"/>
  <c r="AE148" i="1"/>
  <c r="AI144" i="1"/>
  <c r="AI148" i="1" s="1"/>
  <c r="AI162" i="1" s="1"/>
  <c r="AM144" i="1"/>
  <c r="AM148" i="1" s="1"/>
  <c r="AM222" i="1"/>
  <c r="AM224" i="1" s="1"/>
  <c r="AE224" i="1"/>
  <c r="AI222" i="1"/>
  <c r="AI224" i="1" s="1"/>
  <c r="AI32" i="1"/>
  <c r="AG293" i="1"/>
  <c r="AG294" i="1" s="1"/>
  <c r="M345" i="1"/>
  <c r="M346" i="1" s="1"/>
  <c r="AM206" i="1"/>
  <c r="AI206" i="1"/>
  <c r="AK220" i="1"/>
  <c r="AD273" i="1"/>
  <c r="AH327" i="1"/>
  <c r="AK206" i="1"/>
  <c r="AG206" i="1"/>
  <c r="AE235" i="1"/>
  <c r="AC235" i="1"/>
  <c r="AG32" i="1"/>
  <c r="AG77" i="1"/>
  <c r="AL206" i="1"/>
  <c r="AH206" i="1"/>
  <c r="AK127" i="1"/>
  <c r="AI272" i="1"/>
  <c r="AI273" i="1" s="1"/>
  <c r="AG321" i="1"/>
  <c r="AL142" i="1"/>
  <c r="AE32" i="1"/>
  <c r="AE83" i="1" s="1"/>
  <c r="AE84" i="1" s="1"/>
  <c r="AL334" i="1"/>
  <c r="AH334" i="1"/>
  <c r="Q345" i="1"/>
  <c r="Q346" i="1" s="1"/>
  <c r="AK186" i="1"/>
  <c r="AI294" i="1"/>
  <c r="AD209" i="1"/>
  <c r="AD210" i="1" s="1"/>
  <c r="AM282" i="1"/>
  <c r="AM294" i="1" s="1"/>
  <c r="AK321" i="1"/>
  <c r="AD342" i="1"/>
  <c r="AG47" i="1"/>
  <c r="AI60" i="1"/>
  <c r="AE294" i="1"/>
  <c r="AG273" i="1"/>
  <c r="AH47" i="1"/>
  <c r="AD224" i="1"/>
  <c r="AD235" i="1" s="1"/>
  <c r="AH222" i="1"/>
  <c r="AH224" i="1" s="1"/>
  <c r="AL222" i="1"/>
  <c r="AL224" i="1" s="1"/>
  <c r="AH231" i="1"/>
  <c r="AH234" i="1" s="1"/>
  <c r="AD234" i="1"/>
  <c r="AL231" i="1"/>
  <c r="AL234" i="1" s="1"/>
  <c r="AK245" i="1"/>
  <c r="AE162" i="1"/>
  <c r="AE273" i="1"/>
  <c r="AK202" i="1"/>
  <c r="AK209" i="1" s="1"/>
  <c r="AG202" i="1"/>
  <c r="AC83" i="1"/>
  <c r="AC84" i="1" s="1"/>
  <c r="AD343" i="1"/>
  <c r="AC210" i="1"/>
  <c r="AM114" i="1"/>
  <c r="AM128" i="1" s="1"/>
  <c r="AI202" i="1"/>
  <c r="AM202" i="1"/>
  <c r="AK128" i="1"/>
  <c r="AM231" i="1"/>
  <c r="AM234" i="1" s="1"/>
  <c r="AI231" i="1"/>
  <c r="AI234" i="1" s="1"/>
  <c r="AK337" i="1"/>
  <c r="AG337" i="1"/>
  <c r="AK298" i="1"/>
  <c r="AK303" i="1" s="1"/>
  <c r="AK312" i="1" s="1"/>
  <c r="AC303" i="1"/>
  <c r="AC312" i="1" s="1"/>
  <c r="AG298" i="1"/>
  <c r="AG303" i="1" s="1"/>
  <c r="AG312" i="1" s="1"/>
  <c r="AI311" i="1"/>
  <c r="AL202" i="1"/>
  <c r="AH202" i="1"/>
  <c r="AG144" i="1"/>
  <c r="AG148" i="1" s="1"/>
  <c r="AG162" i="1" s="1"/>
  <c r="AC148" i="1"/>
  <c r="AC162" i="1" s="1"/>
  <c r="AK144" i="1"/>
  <c r="AK148" i="1" s="1"/>
  <c r="AK162" i="1" s="1"/>
  <c r="O345" i="1"/>
  <c r="O346" i="1" s="1"/>
  <c r="AI128" i="1" l="1"/>
  <c r="AH128" i="1"/>
  <c r="AG128" i="1"/>
  <c r="AK210" i="1"/>
  <c r="AG209" i="1"/>
  <c r="AG210" i="1" s="1"/>
  <c r="AE344" i="1"/>
  <c r="AE345" i="1" s="1"/>
  <c r="AE346" i="1" s="1"/>
  <c r="AC344" i="1"/>
  <c r="AL209" i="1"/>
  <c r="AL210" i="1" s="1"/>
  <c r="AM235" i="1"/>
  <c r="AK273" i="1"/>
  <c r="AL162" i="1"/>
  <c r="AM209" i="1"/>
  <c r="AM210" i="1" s="1"/>
  <c r="AI209" i="1"/>
  <c r="AI210" i="1" s="1"/>
  <c r="AK235" i="1"/>
  <c r="AD344" i="1"/>
  <c r="AD345" i="1" s="1"/>
  <c r="AD346" i="1" s="1"/>
  <c r="AH342" i="1"/>
  <c r="AH343" i="1" s="1"/>
  <c r="AI312" i="1"/>
  <c r="AH235" i="1"/>
  <c r="AI235" i="1"/>
  <c r="AG235" i="1"/>
  <c r="AH209" i="1"/>
  <c r="AH210" i="1" s="1"/>
  <c r="W345" i="1"/>
  <c r="W346" i="1" s="1"/>
  <c r="AI83" i="1"/>
  <c r="AI84" i="1" s="1"/>
  <c r="AA345" i="1"/>
  <c r="AA346" i="1" s="1"/>
  <c r="AH83" i="1"/>
  <c r="AH84" i="1" s="1"/>
  <c r="AG83" i="1"/>
  <c r="AG84" i="1" s="1"/>
  <c r="AG342" i="1"/>
  <c r="AG343" i="1" s="1"/>
  <c r="AL235" i="1"/>
  <c r="AL342" i="1"/>
  <c r="AL343" i="1" s="1"/>
  <c r="AC345" i="1"/>
  <c r="AC346" i="1" s="1"/>
  <c r="AK343" i="1"/>
  <c r="AM344" i="1"/>
  <c r="AM345" i="1" s="1"/>
  <c r="AM346" i="1" s="1"/>
  <c r="AK344" i="1" l="1"/>
  <c r="AK345" i="1" s="1"/>
  <c r="AK346" i="1" s="1"/>
  <c r="AL344" i="1"/>
  <c r="AL345" i="1" s="1"/>
  <c r="AL346" i="1" s="1"/>
  <c r="AI344" i="1"/>
  <c r="AI345" i="1" s="1"/>
  <c r="AI346" i="1" s="1"/>
  <c r="AH344" i="1"/>
  <c r="AH345" i="1" s="1"/>
  <c r="AH346" i="1" s="1"/>
  <c r="AG344" i="1"/>
  <c r="AG345" i="1" s="1"/>
  <c r="AG3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Sheena Gossett</author>
    <author>Scott Koenig</author>
    <author>skoenig</author>
  </authors>
  <commentList>
    <comment ref="W2" authorId="0" shapeId="0" xr:uid="{D60121B6-395D-4748-8F03-849A536580CE}">
      <text>
        <r>
          <rPr>
            <b/>
            <sz val="9"/>
            <color indexed="81"/>
            <rFont val="Tahoma"/>
            <family val="2"/>
          </rPr>
          <t>Sheena Gossett:</t>
        </r>
        <r>
          <rPr>
            <sz val="9"/>
            <color indexed="81"/>
            <rFont val="Tahoma"/>
            <family val="2"/>
          </rPr>
          <t xml:space="preserve">
As of 01.31.21.</t>
        </r>
      </text>
    </comment>
    <comment ref="Y7" authorId="1" shapeId="0" xr:uid="{E96625FE-0873-40E4-9069-E7B2B5E54FAE}">
      <text>
        <r>
          <rPr>
            <b/>
            <sz val="9"/>
            <color indexed="81"/>
            <rFont val="Tahoma"/>
            <family val="2"/>
          </rPr>
          <t>Scott Koenig:</t>
        </r>
        <r>
          <rPr>
            <sz val="9"/>
            <color indexed="81"/>
            <rFont val="Tahoma"/>
            <family val="2"/>
          </rPr>
          <t xml:space="preserve">
$630,000 seems reasonable as of 2/25/2020.  $600K discussed at 3/07/2020.  3/16/2020 - Use $605K - SDK
</t>
        </r>
      </text>
    </comment>
    <comment ref="AA7" authorId="0" shapeId="0" xr:uid="{D9363377-1718-4A70-8817-3B544A5C084A}">
      <text>
        <r>
          <rPr>
            <b/>
            <sz val="9"/>
            <color indexed="81"/>
            <rFont val="Tahoma"/>
            <family val="2"/>
          </rPr>
          <t>Sheena Gossett:</t>
        </r>
        <r>
          <rPr>
            <sz val="9"/>
            <color indexed="81"/>
            <rFont val="Tahoma"/>
            <family val="2"/>
          </rPr>
          <t xml:space="preserve">
23% higher than FY21 Budget
7% higher than 5 year average</t>
        </r>
      </text>
    </comment>
    <comment ref="Y9" authorId="1" shapeId="0" xr:uid="{A9021FB8-B58F-460E-AE84-28B64FA86AE1}">
      <text>
        <r>
          <rPr>
            <b/>
            <sz val="9"/>
            <color indexed="81"/>
            <rFont val="Tahoma"/>
            <family val="2"/>
          </rPr>
          <t>Scott Koenig:</t>
        </r>
        <r>
          <rPr>
            <sz val="9"/>
            <color indexed="81"/>
            <rFont val="Tahoma"/>
            <family val="2"/>
          </rPr>
          <t xml:space="preserve">
$475K discussed at 03/07/2020 meeting.</t>
        </r>
      </text>
    </comment>
    <comment ref="AA9" authorId="0" shapeId="0" xr:uid="{E9AA7A4C-BE45-4658-9676-4C5ED33AD69E}">
      <text>
        <r>
          <rPr>
            <b/>
            <sz val="9"/>
            <color indexed="81"/>
            <rFont val="Tahoma"/>
            <family val="2"/>
          </rPr>
          <t>Sheena Gossett:</t>
        </r>
        <r>
          <rPr>
            <sz val="9"/>
            <color indexed="81"/>
            <rFont val="Tahoma"/>
            <family val="2"/>
          </rPr>
          <t xml:space="preserve">
Kept same as possible extra enforcement will offset any loss do to continued pandemic</t>
        </r>
      </text>
    </comment>
    <comment ref="Y10" authorId="1" shapeId="0" xr:uid="{63C6FABB-40BC-4049-B0EC-59C496853D2A}">
      <text>
        <r>
          <rPr>
            <b/>
            <sz val="9"/>
            <color indexed="81"/>
            <rFont val="Tahoma"/>
            <family val="2"/>
          </rPr>
          <t>Scott Koenig:</t>
        </r>
        <r>
          <rPr>
            <sz val="9"/>
            <color indexed="81"/>
            <rFont val="Tahoma"/>
            <family val="2"/>
          </rPr>
          <t xml:space="preserve">
$57,350 is 3-year average.</t>
        </r>
      </text>
    </comment>
    <comment ref="AA17" authorId="0" shapeId="0" xr:uid="{D91A3348-4709-40BB-A496-CFA4F6FC5F7E}">
      <text>
        <r>
          <rPr>
            <b/>
            <sz val="9"/>
            <color indexed="81"/>
            <rFont val="Tahoma"/>
            <charset val="1"/>
          </rPr>
          <t>Sheena Gossett:</t>
        </r>
        <r>
          <rPr>
            <sz val="9"/>
            <color indexed="81"/>
            <rFont val="Tahoma"/>
            <charset val="1"/>
          </rPr>
          <t xml:space="preserve">
Reduced to 99 by BZ 02.04.21</t>
        </r>
      </text>
    </comment>
    <comment ref="Y19" authorId="1" shapeId="0" xr:uid="{96507698-8D8C-450D-B00D-291FBA3C8B24}">
      <text>
        <r>
          <rPr>
            <b/>
            <sz val="9"/>
            <color indexed="81"/>
            <rFont val="Tahoma"/>
            <family val="2"/>
          </rPr>
          <t>Scott Koenig:</t>
        </r>
        <r>
          <rPr>
            <sz val="9"/>
            <color indexed="81"/>
            <rFont val="Tahoma"/>
            <family val="2"/>
          </rPr>
          <t xml:space="preserve">
Increased from $225,000 to $227,500 on 02/24/2020.</t>
        </r>
      </text>
    </comment>
    <comment ref="AA19" authorId="0" shapeId="0" xr:uid="{A6031AC0-32BA-4FFF-8AE8-8905E0246164}">
      <text>
        <r>
          <rPr>
            <b/>
            <sz val="9"/>
            <color indexed="81"/>
            <rFont val="Tahoma"/>
            <charset val="1"/>
          </rPr>
          <t>Sheena Gossett:</t>
        </r>
        <r>
          <rPr>
            <sz val="9"/>
            <color indexed="81"/>
            <rFont val="Tahoma"/>
            <charset val="1"/>
          </rPr>
          <t xml:space="preserve">
reduced to 225 by BZ 02.04.21</t>
        </r>
      </text>
    </comment>
    <comment ref="AA20" authorId="0" shapeId="0" xr:uid="{E85449CD-DC4B-4019-971B-6E635722E466}">
      <text>
        <r>
          <rPr>
            <b/>
            <sz val="9"/>
            <color indexed="81"/>
            <rFont val="Tahoma"/>
            <family val="2"/>
          </rPr>
          <t>Sheena Gossett:</t>
        </r>
        <r>
          <rPr>
            <sz val="9"/>
            <color indexed="81"/>
            <rFont val="Tahoma"/>
            <family val="2"/>
          </rPr>
          <t xml:space="preserve">
No longer needed</t>
        </r>
      </text>
    </comment>
    <comment ref="Y23" authorId="1" shapeId="0" xr:uid="{F067F8A3-379B-40AC-895F-5C9C5DA9BEA5}">
      <text>
        <r>
          <rPr>
            <b/>
            <sz val="9"/>
            <color indexed="81"/>
            <rFont val="Tahoma"/>
            <family val="2"/>
          </rPr>
          <t>Scott Koenig:</t>
        </r>
        <r>
          <rPr>
            <sz val="9"/>
            <color indexed="81"/>
            <rFont val="Tahoma"/>
            <family val="2"/>
          </rPr>
          <t xml:space="preserve">
Use 800 permits X $250.00 = $200,000 and 800 permits x $150.00 = $120,000; Total = $320,000</t>
        </r>
      </text>
    </comment>
    <comment ref="AA23" authorId="0" shapeId="0" xr:uid="{7B548ACC-7A1B-4A57-94E2-A533AA37E9BE}">
      <text>
        <r>
          <rPr>
            <b/>
            <sz val="9"/>
            <color indexed="81"/>
            <rFont val="Tahoma"/>
            <family val="2"/>
          </rPr>
          <t>Sheena Gossett:</t>
        </r>
        <r>
          <rPr>
            <sz val="9"/>
            <color indexed="81"/>
            <rFont val="Tahoma"/>
            <family val="2"/>
          </rPr>
          <t xml:space="preserve">
Put back to FY21 budget numbers per workshop 01.21.21
900 @ $150
300 @ $200
450 @ $250
908, 238 &amp; 381 summer 2020 respectively 
</t>
        </r>
      </text>
    </comment>
    <comment ref="Y24" authorId="1" shapeId="0" xr:uid="{40B7643E-186F-494A-976E-7B13E56F3DA8}">
      <text>
        <r>
          <rPr>
            <b/>
            <sz val="9"/>
            <color indexed="81"/>
            <rFont val="Tahoma"/>
            <family val="2"/>
          </rPr>
          <t>Scott Koenig:</t>
        </r>
        <r>
          <rPr>
            <sz val="9"/>
            <color indexed="81"/>
            <rFont val="Tahoma"/>
            <family val="2"/>
          </rPr>
          <t xml:space="preserve">
Use $365,000 X 1.20 = $438,000.  $420,000 discussed at 03/07/2020 meeting.  Revise to $435K per GP email.</t>
        </r>
      </text>
    </comment>
    <comment ref="AA24" authorId="0" shapeId="0" xr:uid="{49C003B9-D042-482D-9324-6748BCFAFF9D}">
      <text>
        <r>
          <rPr>
            <b/>
            <sz val="9"/>
            <color indexed="81"/>
            <rFont val="Tahoma"/>
            <family val="2"/>
          </rPr>
          <t>Sheena Gossett:</t>
        </r>
        <r>
          <rPr>
            <sz val="9"/>
            <color indexed="81"/>
            <rFont val="Tahoma"/>
            <family val="2"/>
          </rPr>
          <t xml:space="preserve">
Put back to FY21 budget numbers per workshop 01.21.21
Went with FY2020 actual amount as higher than averages but without enforcement, could stay down</t>
        </r>
      </text>
    </comment>
    <comment ref="Y25" authorId="1" shapeId="0" xr:uid="{148C6D30-ED98-420C-88E6-3A21F49AED8C}">
      <text>
        <r>
          <rPr>
            <b/>
            <sz val="9"/>
            <color indexed="81"/>
            <rFont val="Tahoma"/>
            <family val="2"/>
          </rPr>
          <t>Scott Koenig:</t>
        </r>
        <r>
          <rPr>
            <sz val="9"/>
            <color indexed="81"/>
            <rFont val="Tahoma"/>
            <family val="2"/>
          </rPr>
          <t xml:space="preserve">
Use $345,000 X 1.25 = $431,250; therefore, use $435,000 plus $27,000 extra for variable pricing estimate for weekends.  Use $462K.  $440,000 disccused at 03/07/2020 meeting.
</t>
        </r>
      </text>
    </comment>
    <comment ref="AA25" authorId="0" shapeId="0" xr:uid="{854769F7-A6CB-4C5E-8F0C-40E2BE544E6F}">
      <text>
        <r>
          <rPr>
            <b/>
            <sz val="9"/>
            <color indexed="81"/>
            <rFont val="Tahoma"/>
            <family val="2"/>
          </rPr>
          <t>Sheena Gossett:</t>
        </r>
        <r>
          <rPr>
            <sz val="9"/>
            <color indexed="81"/>
            <rFont val="Tahoma"/>
            <family val="2"/>
          </rPr>
          <t xml:space="preserve">
Put back to FY21 budget numbers per workshop 01.21.21
Went with FY2020 actual amount as higher than averages but without enforcement, could stay down</t>
        </r>
      </text>
    </comment>
    <comment ref="AA28" authorId="0" shapeId="0" xr:uid="{5B5053B7-45CC-41BB-BEDF-7DAA8793238D}">
      <text>
        <r>
          <rPr>
            <b/>
            <sz val="9"/>
            <color indexed="81"/>
            <rFont val="Tahoma"/>
            <family val="2"/>
          </rPr>
          <t>Sheena Gossett:</t>
        </r>
        <r>
          <rPr>
            <sz val="9"/>
            <color indexed="81"/>
            <rFont val="Tahoma"/>
            <family val="2"/>
          </rPr>
          <t xml:space="preserve">
10% increase over historic low as even though properties are transferring, building revenue will depend on interest rates brought about by new administration</t>
        </r>
      </text>
    </comment>
    <comment ref="Y30" authorId="1" shapeId="0" xr:uid="{CD88F26C-0C56-45FA-BB84-927C49023F22}">
      <text>
        <r>
          <rPr>
            <b/>
            <sz val="9"/>
            <color indexed="81"/>
            <rFont val="Tahoma"/>
            <family val="2"/>
          </rPr>
          <t>Scott Koenig:</t>
        </r>
        <r>
          <rPr>
            <sz val="9"/>
            <color indexed="81"/>
            <rFont val="Tahoma"/>
            <family val="2"/>
          </rPr>
          <t xml:space="preserve">
Increased to $26K related to DM comments.  Reduce to $20K per GP email.</t>
        </r>
      </text>
    </comment>
    <comment ref="AA30" authorId="0" shapeId="0" xr:uid="{3C5B281A-5E50-4292-BA3F-8645C3BF1A95}">
      <text>
        <r>
          <rPr>
            <b/>
            <sz val="9"/>
            <color indexed="81"/>
            <rFont val="Tahoma"/>
            <family val="2"/>
          </rPr>
          <t>Sheena Gossett:</t>
        </r>
        <r>
          <rPr>
            <sz val="9"/>
            <color indexed="81"/>
            <rFont val="Tahoma"/>
            <family val="2"/>
          </rPr>
          <t xml:space="preserve">
Kept same due to ee's able to upsell many to lifetime license, thus limiting short term needs.  Online access to short term licenses may help but not substantial as transfering from in person to online</t>
        </r>
      </text>
    </comment>
    <comment ref="AA35" authorId="0" shapeId="0" xr:uid="{ADE7AFEB-5F53-4F39-98B7-A24671AAA02B}">
      <text>
        <r>
          <rPr>
            <b/>
            <sz val="9"/>
            <color indexed="81"/>
            <rFont val="Tahoma"/>
            <family val="2"/>
          </rPr>
          <t>Sheena Gossett:</t>
        </r>
        <r>
          <rPr>
            <sz val="9"/>
            <color indexed="81"/>
            <rFont val="Tahoma"/>
            <family val="2"/>
          </rPr>
          <t xml:space="preserve">
put to 21 budget at workshop
added 5k for delinquent since not using delinquent anymore</t>
        </r>
      </text>
    </comment>
    <comment ref="S36" authorId="0" shapeId="0" xr:uid="{74AB8308-6F84-43C5-B368-F9426543E5EF}">
      <text>
        <r>
          <rPr>
            <b/>
            <sz val="9"/>
            <color indexed="81"/>
            <rFont val="Tahoma"/>
            <family val="2"/>
          </rPr>
          <t>Sheena Gossett:</t>
        </r>
        <r>
          <rPr>
            <sz val="9"/>
            <color indexed="81"/>
            <rFont val="Tahoma"/>
            <family val="2"/>
          </rPr>
          <t xml:space="preserve">
This is only collections from First Collect.  Any in-house collections of delinquent tickets are not stated as such.</t>
        </r>
      </text>
    </comment>
    <comment ref="W36" authorId="0" shapeId="0" xr:uid="{E36938C4-6B94-4318-8F64-CF2288E294B8}">
      <text>
        <r>
          <rPr>
            <b/>
            <sz val="9"/>
            <color indexed="81"/>
            <rFont val="Tahoma"/>
            <family val="2"/>
          </rPr>
          <t>Sheena Gossett:</t>
        </r>
        <r>
          <rPr>
            <sz val="9"/>
            <color indexed="81"/>
            <rFont val="Tahoma"/>
            <family val="2"/>
          </rPr>
          <t xml:space="preserve">
This is only collections from First Collect.  Any in-house collections of delinquent tickets are not stated as such.</t>
        </r>
      </text>
    </comment>
    <comment ref="AA36" authorId="0" shapeId="0" xr:uid="{2F7E0F80-6842-4703-9836-16E5B9E1BAE3}">
      <text>
        <r>
          <rPr>
            <b/>
            <sz val="9"/>
            <color indexed="81"/>
            <rFont val="Tahoma"/>
            <family val="2"/>
          </rPr>
          <t>Sheena Gossett:</t>
        </r>
        <r>
          <rPr>
            <sz val="9"/>
            <color indexed="81"/>
            <rFont val="Tahoma"/>
            <family val="2"/>
          </rPr>
          <t xml:space="preserve">
this was for First Collect but have not been using them - collecting in house and all goes to parking tickets.</t>
        </r>
      </text>
    </comment>
    <comment ref="AA40" authorId="0" shapeId="0" xr:uid="{A016ED15-F1FB-4E0D-BF4D-497C829AE5AF}">
      <text>
        <r>
          <rPr>
            <b/>
            <sz val="9"/>
            <color indexed="81"/>
            <rFont val="Tahoma"/>
            <family val="2"/>
          </rPr>
          <t>Sheena Gossett:</t>
        </r>
        <r>
          <rPr>
            <sz val="9"/>
            <color indexed="81"/>
            <rFont val="Tahoma"/>
            <family val="2"/>
          </rPr>
          <t xml:space="preserve">
upped to $40k per JD from $35k</t>
        </r>
      </text>
    </comment>
    <comment ref="AA41" authorId="0" shapeId="0" xr:uid="{095EB2FC-22FD-418C-9143-F5A5D63C4C63}">
      <text>
        <r>
          <rPr>
            <b/>
            <sz val="9"/>
            <color indexed="81"/>
            <rFont val="Tahoma"/>
            <family val="2"/>
          </rPr>
          <t>Sheena Gossett:</t>
        </r>
        <r>
          <rPr>
            <sz val="9"/>
            <color indexed="81"/>
            <rFont val="Tahoma"/>
            <family val="2"/>
          </rPr>
          <t xml:space="preserve">
upped to 9k per JD from 7.5k</t>
        </r>
      </text>
    </comment>
    <comment ref="S43" authorId="0" shapeId="0" xr:uid="{21405999-4F54-441D-82FC-C06834E21FDB}">
      <text>
        <r>
          <rPr>
            <b/>
            <sz val="9"/>
            <color indexed="81"/>
            <rFont val="Tahoma"/>
            <family val="2"/>
          </rPr>
          <t>Sheena Gossett:</t>
        </r>
        <r>
          <rPr>
            <sz val="9"/>
            <color indexed="81"/>
            <rFont val="Tahoma"/>
            <family val="2"/>
          </rPr>
          <t xml:space="preserve">
This is for issues prior to 2018.  First Collect is not being used for anything since 2018</t>
        </r>
      </text>
    </comment>
    <comment ref="W43" authorId="0" shapeId="0" xr:uid="{964CE7EA-FECF-410C-85D5-29368730A51C}">
      <text>
        <r>
          <rPr>
            <b/>
            <sz val="9"/>
            <color indexed="81"/>
            <rFont val="Tahoma"/>
            <family val="2"/>
          </rPr>
          <t>Sheena Gossett:</t>
        </r>
        <r>
          <rPr>
            <sz val="9"/>
            <color indexed="81"/>
            <rFont val="Tahoma"/>
            <family val="2"/>
          </rPr>
          <t xml:space="preserve">
This is for issues prior to 2018.  First Collect is not being used for anything since 2018</t>
        </r>
      </text>
    </comment>
    <comment ref="Y44" authorId="1" shapeId="0" xr:uid="{D3DEF006-C7A3-4090-A7F3-41BE8F555DE2}">
      <text>
        <r>
          <rPr>
            <b/>
            <sz val="9"/>
            <color indexed="81"/>
            <rFont val="Tahoma"/>
            <family val="2"/>
          </rPr>
          <t>Scott Koenig:</t>
        </r>
        <r>
          <rPr>
            <sz val="9"/>
            <color indexed="81"/>
            <rFont val="Tahoma"/>
            <family val="2"/>
          </rPr>
          <t xml:space="preserve">
Est. = $100 per month.</t>
        </r>
      </text>
    </comment>
    <comment ref="AA44" authorId="0" shapeId="0" xr:uid="{906C865B-C19F-415C-A82A-C63BAD72F20F}">
      <text>
        <r>
          <rPr>
            <b/>
            <sz val="9"/>
            <color indexed="81"/>
            <rFont val="Tahoma"/>
            <charset val="1"/>
          </rPr>
          <t>Sheena Gossett:</t>
        </r>
        <r>
          <rPr>
            <sz val="9"/>
            <color indexed="81"/>
            <rFont val="Tahoma"/>
            <charset val="1"/>
          </rPr>
          <t xml:space="preserve">
grouping all "other court" fines as one since doesn't matter what court, just that we get monies
</t>
        </r>
      </text>
    </comment>
    <comment ref="AA46" authorId="0" shapeId="0" xr:uid="{2BA84100-6B78-46BA-BAC3-C5136EE44F14}">
      <text>
        <r>
          <rPr>
            <b/>
            <sz val="9"/>
            <color indexed="81"/>
            <rFont val="Tahoma"/>
            <family val="2"/>
          </rPr>
          <t>Sheena Gossett:</t>
        </r>
        <r>
          <rPr>
            <sz val="9"/>
            <color indexed="81"/>
            <rFont val="Tahoma"/>
            <family val="2"/>
          </rPr>
          <t xml:space="preserve">
Other Court income takes away from in person income payments - however FY2020 was below historic low and may continue the same into FY2021</t>
        </r>
      </text>
    </comment>
    <comment ref="AA49" authorId="0" shapeId="0" xr:uid="{927FE232-C4BF-407D-8D27-CF74AAA7CC26}">
      <text>
        <r>
          <rPr>
            <b/>
            <sz val="9"/>
            <color indexed="81"/>
            <rFont val="Tahoma"/>
            <family val="2"/>
          </rPr>
          <t>Sheena Gossett:</t>
        </r>
        <r>
          <rPr>
            <sz val="9"/>
            <color indexed="81"/>
            <rFont val="Tahoma"/>
            <family val="2"/>
          </rPr>
          <t xml:space="preserve">
Per JD</t>
        </r>
      </text>
    </comment>
    <comment ref="Y50" authorId="1" shapeId="0" xr:uid="{F0D0C8EC-1F29-41D2-BA32-D305E286FF75}">
      <text>
        <r>
          <rPr>
            <b/>
            <sz val="9"/>
            <color indexed="81"/>
            <rFont val="Tahoma"/>
            <family val="2"/>
          </rPr>
          <t>Scott Koenig:</t>
        </r>
        <r>
          <rPr>
            <sz val="9"/>
            <color indexed="81"/>
            <rFont val="Tahoma"/>
            <family val="2"/>
          </rPr>
          <t xml:space="preserve">
Increased from $15,000 to $20,000 on 02/24/2020. $15,000 on 03/04/2020.  Use $18.5K as of 03/16/20 - SDK</t>
        </r>
      </text>
    </comment>
    <comment ref="Y51" authorId="1" shapeId="0" xr:uid="{540E999B-87B0-40A0-9416-175AA2A661CE}">
      <text>
        <r>
          <rPr>
            <b/>
            <sz val="9"/>
            <color indexed="81"/>
            <rFont val="Tahoma"/>
            <family val="2"/>
          </rPr>
          <t>Scott Koenig:</t>
        </r>
        <r>
          <rPr>
            <sz val="9"/>
            <color indexed="81"/>
            <rFont val="Tahoma"/>
            <family val="2"/>
          </rPr>
          <t xml:space="preserve">
Concerns at 03/07/2020 meeting: $25,000.  Reduced to $10K per email from GP.</t>
        </r>
      </text>
    </comment>
    <comment ref="AA51" authorId="0" shapeId="0" xr:uid="{5E9B9697-3A18-49DC-B13E-A397F17A2DA5}">
      <text>
        <r>
          <rPr>
            <b/>
            <sz val="9"/>
            <color indexed="81"/>
            <rFont val="Tahoma"/>
            <family val="2"/>
          </rPr>
          <t>Sheena Gossett:</t>
        </r>
        <r>
          <rPr>
            <sz val="9"/>
            <color indexed="81"/>
            <rFont val="Tahoma"/>
            <family val="2"/>
          </rPr>
          <t xml:space="preserve">
Based on FY2020 actual</t>
        </r>
      </text>
    </comment>
    <comment ref="AA53" authorId="0" shapeId="0" xr:uid="{6C1F9E2A-5FB7-49A0-AD00-B71701B30B1E}">
      <text>
        <r>
          <rPr>
            <b/>
            <sz val="9"/>
            <color indexed="81"/>
            <rFont val="Tahoma"/>
            <charset val="1"/>
          </rPr>
          <t>Sheena Gossett:</t>
        </r>
        <r>
          <rPr>
            <sz val="9"/>
            <color indexed="81"/>
            <rFont val="Tahoma"/>
            <charset val="1"/>
          </rPr>
          <t xml:space="preserve">
Taken to 25k per workshop 01.21.21</t>
        </r>
      </text>
    </comment>
    <comment ref="Y57" authorId="1" shapeId="0" xr:uid="{86641CE2-CC87-49B0-87E7-0A28E61DAB45}">
      <text>
        <r>
          <rPr>
            <b/>
            <sz val="9"/>
            <color indexed="81"/>
            <rFont val="Tahoma"/>
            <family val="2"/>
          </rPr>
          <t>Scott Koenig:</t>
        </r>
        <r>
          <rPr>
            <sz val="9"/>
            <color indexed="81"/>
            <rFont val="Tahoma"/>
            <family val="2"/>
          </rPr>
          <t xml:space="preserve">
Last 3 years average: $39,990.  Last 2 years average:  $41,379.  Use $40,000.</t>
        </r>
      </text>
    </comment>
    <comment ref="S58" authorId="0" shapeId="0" xr:uid="{E4AE2546-2C8E-44E7-A4D2-CE131297DC03}">
      <text>
        <r>
          <rPr>
            <b/>
            <sz val="9"/>
            <color indexed="81"/>
            <rFont val="Tahoma"/>
            <family val="2"/>
          </rPr>
          <t>Sheena Gossett:</t>
        </r>
        <r>
          <rPr>
            <sz val="9"/>
            <color indexed="81"/>
            <rFont val="Tahoma"/>
            <family val="2"/>
          </rPr>
          <t xml:space="preserve">
This includes SCAT Meeting payments</t>
        </r>
      </text>
    </comment>
    <comment ref="W58" authorId="0" shapeId="0" xr:uid="{9792144B-0A95-42A3-8F53-ACAB1F390731}">
      <text>
        <r>
          <rPr>
            <b/>
            <sz val="9"/>
            <color indexed="81"/>
            <rFont val="Tahoma"/>
            <family val="2"/>
          </rPr>
          <t>Sheena Gossett:</t>
        </r>
        <r>
          <rPr>
            <sz val="9"/>
            <color indexed="81"/>
            <rFont val="Tahoma"/>
            <family val="2"/>
          </rPr>
          <t xml:space="preserve">
This includes SCAT Meeting payments</t>
        </r>
      </text>
    </comment>
    <comment ref="Y59" authorId="1" shapeId="0" xr:uid="{2C9BB225-BC8D-4278-811B-4B1E3D40CD37}">
      <text>
        <r>
          <rPr>
            <b/>
            <sz val="9"/>
            <color indexed="81"/>
            <rFont val="Tahoma"/>
            <family val="2"/>
          </rPr>
          <t>Scott Koenig:</t>
        </r>
        <r>
          <rPr>
            <sz val="9"/>
            <color indexed="81"/>
            <rFont val="Tahoma"/>
            <family val="2"/>
          </rPr>
          <t xml:space="preserve">
Verizon COW - Summer Lease Payment:  $13,000 (est.) - as of 2/18/2020 Verizon has indicated they will not be using the COW.  Reimbursement of Admin. Salary related to Beach Tax Administration:  $5,000.  Removed on 03/04/2020.
</t>
        </r>
      </text>
    </comment>
    <comment ref="AA79" authorId="0" shapeId="0" xr:uid="{060B0195-5C8D-4994-87F5-9793E9640582}">
      <text>
        <r>
          <rPr>
            <b/>
            <sz val="9"/>
            <color indexed="81"/>
            <rFont val="Tahoma"/>
            <family val="2"/>
          </rPr>
          <t>Sheena Gossett:</t>
        </r>
        <r>
          <rPr>
            <sz val="9"/>
            <color indexed="81"/>
            <rFont val="Tahoma"/>
            <family val="2"/>
          </rPr>
          <t xml:space="preserve">
This is now put directly to balance sheet decreasing receivable.  No longer recorded as revenue</t>
        </r>
      </text>
    </comment>
    <comment ref="Y90" authorId="1" shapeId="0" xr:uid="{07269B9C-EB46-4DD1-845C-3B581476DB07}">
      <text>
        <r>
          <rPr>
            <b/>
            <sz val="9"/>
            <color indexed="81"/>
            <rFont val="Tahoma"/>
            <family val="2"/>
          </rPr>
          <t>Scott Koenig:</t>
        </r>
        <r>
          <rPr>
            <sz val="9"/>
            <color indexed="81"/>
            <rFont val="Tahoma"/>
            <family val="2"/>
          </rPr>
          <t xml:space="preserve">
FY20 - $27,500 as of 12/31/2019.</t>
        </r>
      </text>
    </comment>
    <comment ref="AA90" authorId="0" shapeId="0" xr:uid="{0246AB3F-755D-466C-9155-14D8C79E652E}">
      <text>
        <r>
          <rPr>
            <b/>
            <sz val="9"/>
            <color indexed="81"/>
            <rFont val="Tahoma"/>
            <family val="2"/>
          </rPr>
          <t>Sheena Gossett:</t>
        </r>
        <r>
          <rPr>
            <sz val="9"/>
            <color indexed="81"/>
            <rFont val="Tahoma"/>
            <family val="2"/>
          </rPr>
          <t xml:space="preserve">
FY2020 was down due to fewer people being in town, however if visitor levels go back up, credit card use fees will rise</t>
        </r>
      </text>
    </comment>
    <comment ref="AA91" authorId="0" shapeId="0" xr:uid="{E1BB76C6-7C7C-4A1F-B541-3E61BEA53C57}">
      <text>
        <r>
          <rPr>
            <b/>
            <sz val="9"/>
            <color indexed="81"/>
            <rFont val="Tahoma"/>
            <family val="2"/>
          </rPr>
          <t>Sheena Gossett:</t>
        </r>
        <r>
          <rPr>
            <sz val="9"/>
            <color indexed="81"/>
            <rFont val="Tahoma"/>
            <family val="2"/>
          </rPr>
          <t xml:space="preserve">
if increase in transfer tax continues, fees will go up.</t>
        </r>
      </text>
    </comment>
    <comment ref="AA92" authorId="0" shapeId="0" xr:uid="{D2E9E5A9-35A9-402E-8D2E-2A2C948856D4}">
      <text>
        <r>
          <rPr>
            <b/>
            <sz val="9"/>
            <color indexed="81"/>
            <rFont val="Tahoma"/>
            <family val="2"/>
          </rPr>
          <t>Sheena Gossett:</t>
        </r>
        <r>
          <rPr>
            <sz val="9"/>
            <color indexed="81"/>
            <rFont val="Tahoma"/>
            <family val="2"/>
          </rPr>
          <t xml:space="preserve">
35% of delinqent civil and parking tickets however agency not being used anymore
</t>
        </r>
      </text>
    </comment>
    <comment ref="S93" authorId="0" shapeId="0" xr:uid="{5131AA83-A766-4620-B06B-1D0B706627FB}">
      <text>
        <r>
          <rPr>
            <b/>
            <sz val="9"/>
            <color indexed="81"/>
            <rFont val="Tahoma"/>
            <family val="2"/>
          </rPr>
          <t>Sheena Gossett:</t>
        </r>
        <r>
          <rPr>
            <sz val="9"/>
            <color indexed="81"/>
            <rFont val="Tahoma"/>
            <family val="2"/>
          </rPr>
          <t xml:space="preserve">
Prior years listed as negative revenue.  Switched to expense per Luff in January 2020</t>
        </r>
      </text>
    </comment>
    <comment ref="W93" authorId="0" shapeId="0" xr:uid="{B38C450A-9DF5-4BE4-BB57-EDE357BEF47E}">
      <text>
        <r>
          <rPr>
            <b/>
            <sz val="9"/>
            <color indexed="81"/>
            <rFont val="Tahoma"/>
            <family val="2"/>
          </rPr>
          <t>Sheena Gossett:</t>
        </r>
        <r>
          <rPr>
            <sz val="9"/>
            <color indexed="81"/>
            <rFont val="Tahoma"/>
            <family val="2"/>
          </rPr>
          <t xml:space="preserve">
Prior years listed as negative revenue.  Switched to expense per Luff in January 2020</t>
        </r>
      </text>
    </comment>
    <comment ref="S94" authorId="0" shapeId="0" xr:uid="{CDB89CAE-0F14-4A00-B6D0-49CC89F21DE8}">
      <text>
        <r>
          <rPr>
            <b/>
            <sz val="9"/>
            <color indexed="81"/>
            <rFont val="Tahoma"/>
            <family val="2"/>
          </rPr>
          <t>Sheena Gossett:</t>
        </r>
        <r>
          <rPr>
            <sz val="9"/>
            <color indexed="81"/>
            <rFont val="Tahoma"/>
            <family val="2"/>
          </rPr>
          <t xml:space="preserve">
SCAT Meeting expenses in here.</t>
        </r>
      </text>
    </comment>
    <comment ref="W94" authorId="0" shapeId="0" xr:uid="{24B51FC6-1921-458A-B6F9-3432FDCD0AF7}">
      <text>
        <r>
          <rPr>
            <b/>
            <sz val="9"/>
            <color indexed="81"/>
            <rFont val="Tahoma"/>
            <family val="2"/>
          </rPr>
          <t>Sheena Gossett:</t>
        </r>
        <r>
          <rPr>
            <sz val="9"/>
            <color indexed="81"/>
            <rFont val="Tahoma"/>
            <family val="2"/>
          </rPr>
          <t xml:space="preserve">
SCAT Meeting expenses in here.</t>
        </r>
      </text>
    </comment>
    <comment ref="AA94" authorId="0" shapeId="0" xr:uid="{E955C72D-4772-476A-89E0-77213D6651CC}">
      <text>
        <r>
          <rPr>
            <b/>
            <sz val="9"/>
            <color indexed="81"/>
            <rFont val="Tahoma"/>
            <family val="2"/>
          </rPr>
          <t>Sheena Gossett:</t>
        </r>
        <r>
          <rPr>
            <sz val="9"/>
            <color indexed="81"/>
            <rFont val="Tahoma"/>
            <family val="2"/>
          </rPr>
          <t xml:space="preserve">
per JD</t>
        </r>
      </text>
    </comment>
    <comment ref="S95" authorId="0" shapeId="0" xr:uid="{29606CCC-3E53-4F05-90AD-6AA42F55ABCB}">
      <text>
        <r>
          <rPr>
            <b/>
            <sz val="9"/>
            <color indexed="81"/>
            <rFont val="Tahoma"/>
            <family val="2"/>
          </rPr>
          <t>Sheena Gossett:</t>
        </r>
        <r>
          <rPr>
            <sz val="9"/>
            <color indexed="81"/>
            <rFont val="Tahoma"/>
            <family val="2"/>
          </rPr>
          <t xml:space="preserve">
SCAT Meeting expenses in here.</t>
        </r>
      </text>
    </comment>
    <comment ref="AA95" authorId="0" shapeId="0" xr:uid="{8B3D4C2D-7CE7-4450-878A-715B182537D7}">
      <text>
        <r>
          <rPr>
            <b/>
            <sz val="9"/>
            <color indexed="81"/>
            <rFont val="Tahoma"/>
            <family val="2"/>
          </rPr>
          <t>Sheena Gossett:</t>
        </r>
        <r>
          <rPr>
            <sz val="9"/>
            <color indexed="81"/>
            <rFont val="Tahoma"/>
            <family val="2"/>
          </rPr>
          <t xml:space="preserve">
raised to 5k per commissioner request
</t>
        </r>
      </text>
    </comment>
    <comment ref="W96" authorId="0" shapeId="0" xr:uid="{2F49A2F8-A535-44FD-9DDA-64B4E56B9455}">
      <text>
        <r>
          <rPr>
            <b/>
            <sz val="9"/>
            <color indexed="81"/>
            <rFont val="Tahoma"/>
            <family val="2"/>
          </rPr>
          <t>Sheena Gossett:</t>
        </r>
        <r>
          <rPr>
            <sz val="9"/>
            <color indexed="81"/>
            <rFont val="Tahoma"/>
            <family val="2"/>
          </rPr>
          <t xml:space="preserve">
Town Hall donated more for the Christmas family adoptions than in past years</t>
        </r>
      </text>
    </comment>
    <comment ref="Y96" authorId="1" shapeId="0" xr:uid="{5C4E9516-A6D8-4501-9572-F1CCD468A146}">
      <text>
        <r>
          <rPr>
            <b/>
            <sz val="9"/>
            <color indexed="81"/>
            <rFont val="Tahoma"/>
            <family val="2"/>
          </rPr>
          <t>Scott Koenig:</t>
        </r>
        <r>
          <rPr>
            <sz val="9"/>
            <color indexed="81"/>
            <rFont val="Tahoma"/>
            <family val="2"/>
          </rPr>
          <t xml:space="preserve">
$5,000 Rehoboth Fire Company, $1,500 Center for Inland Bays Annual Dinner; $1,000 for Sponsorship of the Santa 5K</t>
        </r>
      </text>
    </comment>
    <comment ref="S97" authorId="0" shapeId="0" xr:uid="{A4A61475-C924-4EC2-AAE9-9AE9B4BCA0A9}">
      <text>
        <r>
          <rPr>
            <b/>
            <sz val="9"/>
            <color indexed="81"/>
            <rFont val="Tahoma"/>
            <family val="2"/>
          </rPr>
          <t>Sheena Gossett:</t>
        </r>
        <r>
          <rPr>
            <sz val="9"/>
            <color indexed="81"/>
            <rFont val="Tahoma"/>
            <family val="2"/>
          </rPr>
          <t xml:space="preserve">
Town Hall donated more for the Christmas family adoptions than in past years</t>
        </r>
      </text>
    </comment>
    <comment ref="Y98" authorId="2" shapeId="0" xr:uid="{5FF5EBA2-F5FB-4393-B2DA-C486ADBEA1BB}">
      <text>
        <r>
          <rPr>
            <b/>
            <sz val="9"/>
            <color indexed="81"/>
            <rFont val="Tahoma"/>
            <family val="2"/>
          </rPr>
          <t>skoenig:</t>
        </r>
        <r>
          <rPr>
            <sz val="9"/>
            <color indexed="81"/>
            <rFont val="Tahoma"/>
            <family val="2"/>
          </rPr>
          <t xml:space="preserve">
Target: $5,000 per month.  12/10/19 - $5,092 / month is the 21 month average.
03/07/2020 - $70K (DM); Use $5,250 per month - SDK on 03/16/2020.</t>
        </r>
      </text>
    </comment>
    <comment ref="Y99" authorId="1" shapeId="0" xr:uid="{8A2B4995-B601-497F-B554-0333203DCFA4}">
      <text>
        <r>
          <rPr>
            <b/>
            <sz val="9"/>
            <color indexed="81"/>
            <rFont val="Tahoma"/>
            <family val="2"/>
          </rPr>
          <t>Scott Koenig:</t>
        </r>
        <r>
          <rPr>
            <sz val="9"/>
            <color indexed="81"/>
            <rFont val="Tahoma"/>
            <family val="2"/>
          </rPr>
          <t xml:space="preserve">
Target expense is $3,500 per month.  03/07/2020 - $75K (DM); Revise back to $42K on 03/16/2020 per SDK.</t>
        </r>
      </text>
    </comment>
    <comment ref="Y103" authorId="1" shapeId="0" xr:uid="{97BF434A-72C9-47A1-B99A-9D78E8CBBDD0}">
      <text>
        <r>
          <rPr>
            <sz val="9"/>
            <color indexed="81"/>
            <rFont val="Tahoma"/>
            <family val="2"/>
          </rPr>
          <t xml:space="preserve">Scott Koenig:
Managed Services: $25,393; VIMEO - $2,988; Conference Line - $1,020; Stream Hoster - $1,860; T2 Systems - $13,450; EVO Studios - $1,800; PayPal Pay Flow - $500; Govolution - $100; Adobe - $360; Edmunds - Hardware - $662; Edmunds - Software Main - $6,643; Edmunds Cloud Hosting - $4,000 </t>
        </r>
      </text>
    </comment>
    <comment ref="AA103" authorId="0" shapeId="0" xr:uid="{3CFCECAC-7FD3-4B26-8009-08659748A62E}">
      <text>
        <r>
          <rPr>
            <b/>
            <sz val="9"/>
            <color indexed="81"/>
            <rFont val="Tahoma"/>
            <family val="2"/>
          </rPr>
          <t>Sheena Gossett:</t>
        </r>
        <r>
          <rPr>
            <sz val="9"/>
            <color indexed="81"/>
            <rFont val="Tahoma"/>
            <family val="2"/>
          </rPr>
          <t xml:space="preserve">
Scott Koenig:
Managed Services: $25,393; VIMEO - $2,988; Conference Line - $1,020; Stream Hoster - $1,860; T2 Systems - $13,450; EVO Studios - $1,800; PayPal Pay Flow - $500; Govolution - $100; Adobe - $360; Edmunds - Hardware - $662; Edmunds - Software Main - $6,643; Edmunds Cloud Hosting - $4,000 - New laptop ($1700) and scanner ($1100) for Building Inspector</t>
        </r>
      </text>
    </comment>
    <comment ref="S104" authorId="0" shapeId="0" xr:uid="{91F50189-2DF3-4543-A520-ED31F2B73C2D}">
      <text>
        <r>
          <rPr>
            <b/>
            <sz val="9"/>
            <color indexed="81"/>
            <rFont val="Tahoma"/>
            <family val="2"/>
          </rPr>
          <t>Sheena Gossett:</t>
        </r>
        <r>
          <rPr>
            <sz val="9"/>
            <color indexed="81"/>
            <rFont val="Tahoma"/>
            <family val="2"/>
          </rPr>
          <t xml:space="preserve">
Partially offset by Police Grant
Needs to be capitalized</t>
        </r>
      </text>
    </comment>
    <comment ref="W104" authorId="0" shapeId="0" xr:uid="{6E823457-87A9-434B-82E6-2F7312103862}">
      <text>
        <r>
          <rPr>
            <b/>
            <sz val="9"/>
            <color indexed="81"/>
            <rFont val="Tahoma"/>
            <family val="2"/>
          </rPr>
          <t>Sheena Gossett:</t>
        </r>
        <r>
          <rPr>
            <sz val="9"/>
            <color indexed="81"/>
            <rFont val="Tahoma"/>
            <family val="2"/>
          </rPr>
          <t xml:space="preserve">
Needs to be capitalized</t>
        </r>
      </text>
    </comment>
    <comment ref="S105" authorId="0" shapeId="0" xr:uid="{B8BEAFB0-79C2-4EC7-BE99-E00F8EB8658C}">
      <text>
        <r>
          <rPr>
            <b/>
            <sz val="9"/>
            <color indexed="81"/>
            <rFont val="Tahoma"/>
            <family val="2"/>
          </rPr>
          <t>Sheena Gossett:</t>
        </r>
        <r>
          <rPr>
            <sz val="9"/>
            <color indexed="81"/>
            <rFont val="Tahoma"/>
            <family val="2"/>
          </rPr>
          <t xml:space="preserve">
Have only been doing 2 of 3 listed in Resolution 190 due to 3rd bonus is supposed to be discretionary at TM will</t>
        </r>
      </text>
    </comment>
    <comment ref="W105" authorId="0" shapeId="0" xr:uid="{3DF8E328-4166-4320-AA4F-D8675211A986}">
      <text>
        <r>
          <rPr>
            <b/>
            <sz val="9"/>
            <color indexed="81"/>
            <rFont val="Tahoma"/>
            <family val="2"/>
          </rPr>
          <t>Sheena Gossett:</t>
        </r>
        <r>
          <rPr>
            <sz val="9"/>
            <color indexed="81"/>
            <rFont val="Tahoma"/>
            <family val="2"/>
          </rPr>
          <t xml:space="preserve">
Have only been doing 2 of 3 listed in Resolution 190 due to 3rd bonus is supposed to be discretionary at TM will</t>
        </r>
      </text>
    </comment>
    <comment ref="Y106" authorId="1" shapeId="0" xr:uid="{C87E5DDB-E76C-4F23-BF7B-2734F8E4C1E9}">
      <text>
        <r>
          <rPr>
            <b/>
            <sz val="9"/>
            <color indexed="81"/>
            <rFont val="Tahoma"/>
            <family val="2"/>
          </rPr>
          <t>Scott Koenig:</t>
        </r>
        <r>
          <rPr>
            <sz val="9"/>
            <color indexed="81"/>
            <rFont val="Tahoma"/>
            <family val="2"/>
          </rPr>
          <t xml:space="preserve">
DE League of Local Govts: $800.00; RBDB Chamber: $235.00; ACT: $5,000 (Est.); SCAT: $250</t>
        </r>
      </text>
    </comment>
    <comment ref="S107" authorId="0" shapeId="0" xr:uid="{8760C4FD-0EEE-4F21-B846-906839A6D617}">
      <text>
        <r>
          <rPr>
            <b/>
            <sz val="9"/>
            <color indexed="81"/>
            <rFont val="Tahoma"/>
            <family val="2"/>
          </rPr>
          <t>Sheena Gossett:</t>
        </r>
        <r>
          <rPr>
            <sz val="9"/>
            <color indexed="81"/>
            <rFont val="Tahoma"/>
            <family val="2"/>
          </rPr>
          <t xml:space="preserve">
Extra ads had to be placed due to Election issues</t>
        </r>
      </text>
    </comment>
    <comment ref="W107" authorId="0" shapeId="0" xr:uid="{65AA1769-55A9-4457-9896-678305A9643D}">
      <text>
        <r>
          <rPr>
            <b/>
            <sz val="9"/>
            <color indexed="81"/>
            <rFont val="Tahoma"/>
            <family val="2"/>
          </rPr>
          <t>Sheena Gossett:</t>
        </r>
        <r>
          <rPr>
            <sz val="9"/>
            <color indexed="81"/>
            <rFont val="Tahoma"/>
            <family val="2"/>
          </rPr>
          <t xml:space="preserve">
Extra ads had to be placed due to Election issues</t>
        </r>
      </text>
    </comment>
    <comment ref="S108" authorId="0" shapeId="0" xr:uid="{8E80D78F-B867-4FB8-90B8-1C74CD10BAAA}">
      <text>
        <r>
          <rPr>
            <b/>
            <sz val="9"/>
            <color indexed="81"/>
            <rFont val="Tahoma"/>
            <family val="2"/>
          </rPr>
          <t>Sheena Gossett:</t>
        </r>
        <r>
          <rPr>
            <sz val="9"/>
            <color indexed="81"/>
            <rFont val="Tahoma"/>
            <family val="2"/>
          </rPr>
          <t xml:space="preserve">
This is being offset directly to Receivable per Luff directions starting in January 2020</t>
        </r>
      </text>
    </comment>
    <comment ref="W108" authorId="0" shapeId="0" xr:uid="{1EDDE7D5-8FD6-407F-8194-63DCD51E40D1}">
      <text>
        <r>
          <rPr>
            <b/>
            <sz val="9"/>
            <color indexed="81"/>
            <rFont val="Tahoma"/>
            <family val="2"/>
          </rPr>
          <t>Sheena Gossett:</t>
        </r>
        <r>
          <rPr>
            <sz val="9"/>
            <color indexed="81"/>
            <rFont val="Tahoma"/>
            <family val="2"/>
          </rPr>
          <t xml:space="preserve">
This is being offset directly to Receivable per Luff directions starting in January 2020</t>
        </r>
      </text>
    </comment>
    <comment ref="S109" authorId="0" shapeId="0" xr:uid="{444B6C2C-1C2D-4030-AB25-BF9E031B96DB}">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09" authorId="0" shapeId="0" xr:uid="{3F983A28-4241-4749-A895-9C8D5D78B656}">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AA109" authorId="0" shapeId="0" xr:uid="{C14625E2-C09E-47C8-BC03-5FC4E27BD1AE}">
      <text>
        <r>
          <rPr>
            <b/>
            <sz val="9"/>
            <color indexed="81"/>
            <rFont val="Tahoma"/>
            <family val="2"/>
          </rPr>
          <t>Sheena Gossett:</t>
        </r>
        <r>
          <rPr>
            <sz val="9"/>
            <color indexed="81"/>
            <rFont val="Tahoma"/>
            <family val="2"/>
          </rPr>
          <t xml:space="preserve">
Set aside amounts based on revenue amounts</t>
        </r>
      </text>
    </comment>
    <comment ref="S110" authorId="0" shapeId="0" xr:uid="{A4003391-D682-4D8A-B3A7-3F78FB3A2384}">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0" authorId="0" shapeId="0" xr:uid="{9831095A-1CFF-4983-B1DB-2E4C42BA94C8}">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S111" authorId="0" shapeId="0" xr:uid="{609252AE-42B0-4D1A-BD10-6653C8049543}">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1" authorId="0" shapeId="0" xr:uid="{6FB6F5CA-360D-4361-B5AB-C880782B011E}">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S112" authorId="0" shapeId="0" xr:uid="{F5E61DC1-5E5A-42C2-B2DC-22F068D70F8C}">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2" authorId="0" shapeId="0" xr:uid="{19DA9385-8A58-4621-896C-FECF22F77A80}">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7" authorId="0" shapeId="0" xr:uid="{FDD153EF-A460-4B9C-A1F5-0208A07FFB24}">
      <text>
        <r>
          <rPr>
            <b/>
            <sz val="9"/>
            <color indexed="81"/>
            <rFont val="Tahoma"/>
            <family val="2"/>
          </rPr>
          <t>Sheena Gossett:</t>
        </r>
        <r>
          <rPr>
            <sz val="9"/>
            <color indexed="81"/>
            <rFont val="Tahoma"/>
            <family val="2"/>
          </rPr>
          <t xml:space="preserve">
2nd payment coming due in February</t>
        </r>
      </text>
    </comment>
    <comment ref="Y117" authorId="2" shapeId="0" xr:uid="{81AAE379-CF2A-4C0C-A362-B5EE4A9B7E0F}">
      <text>
        <r>
          <rPr>
            <b/>
            <sz val="9"/>
            <color indexed="81"/>
            <rFont val="Tahoma"/>
            <family val="2"/>
          </rPr>
          <t>skoenig:</t>
        </r>
        <r>
          <rPr>
            <sz val="9"/>
            <color indexed="81"/>
            <rFont val="Tahoma"/>
            <family val="2"/>
          </rPr>
          <t xml:space="preserve">
Historically paid from the Street &amp; Infrastructure Account.</t>
        </r>
      </text>
    </comment>
    <comment ref="S118" authorId="0" shapeId="0" xr:uid="{F7717E51-772C-4A63-9830-CA5B229DAC90}">
      <text>
        <r>
          <rPr>
            <b/>
            <sz val="9"/>
            <color indexed="81"/>
            <rFont val="Tahoma"/>
            <family val="2"/>
          </rPr>
          <t>Sheena Gossett:</t>
        </r>
        <r>
          <rPr>
            <sz val="9"/>
            <color indexed="81"/>
            <rFont val="Tahoma"/>
            <family val="2"/>
          </rPr>
          <t xml:space="preserve">
This was not separated out until this year
</t>
        </r>
      </text>
    </comment>
    <comment ref="S119" authorId="0" shapeId="0" xr:uid="{5516F71D-91F2-44B4-A233-EB6825E2C4AD}">
      <text>
        <r>
          <rPr>
            <b/>
            <sz val="9"/>
            <color indexed="81"/>
            <rFont val="Tahoma"/>
            <family val="2"/>
          </rPr>
          <t>Sheena Gossett:</t>
        </r>
        <r>
          <rPr>
            <sz val="9"/>
            <color indexed="81"/>
            <rFont val="Tahoma"/>
            <family val="2"/>
          </rPr>
          <t xml:space="preserve">
Christmas decorations around town put to this account</t>
        </r>
      </text>
    </comment>
    <comment ref="W119" authorId="0" shapeId="0" xr:uid="{28D82595-0D15-45E9-B7C9-DAAEC7CFFA7F}">
      <text>
        <r>
          <rPr>
            <b/>
            <sz val="9"/>
            <color indexed="81"/>
            <rFont val="Tahoma"/>
            <family val="2"/>
          </rPr>
          <t>Sheena Gossett:</t>
        </r>
        <r>
          <rPr>
            <sz val="9"/>
            <color indexed="81"/>
            <rFont val="Tahoma"/>
            <family val="2"/>
          </rPr>
          <t xml:space="preserve">
Christmas decorations around town put to this account</t>
        </r>
      </text>
    </comment>
    <comment ref="Y119" authorId="1" shapeId="0" xr:uid="{8BE374AB-7617-49ED-B89A-6C82F939A6EE}">
      <text>
        <r>
          <rPr>
            <b/>
            <sz val="9"/>
            <color indexed="81"/>
            <rFont val="Tahoma"/>
            <family val="2"/>
          </rPr>
          <t>Scott Koenig:</t>
        </r>
        <r>
          <rPr>
            <sz val="9"/>
            <color indexed="81"/>
            <rFont val="Tahoma"/>
            <family val="2"/>
          </rPr>
          <t xml:space="preserve">
$2,441.58 x 9 months plus $2,490.41 x 3 months = $29,445.45 plus $2,555 = $32,000.</t>
        </r>
      </text>
    </comment>
    <comment ref="AA119" authorId="0" shapeId="0" xr:uid="{7C4DB8B1-A02A-4054-9C84-10B275765392}">
      <text>
        <r>
          <rPr>
            <b/>
            <sz val="9"/>
            <color indexed="81"/>
            <rFont val="Tahoma"/>
            <family val="2"/>
          </rPr>
          <t>Sheena Gossett:</t>
        </r>
        <r>
          <rPr>
            <sz val="9"/>
            <color indexed="81"/>
            <rFont val="Tahoma"/>
            <family val="2"/>
          </rPr>
          <t xml:space="preserve">
2441.88*12+2500
</t>
        </r>
      </text>
    </comment>
    <comment ref="Y120" authorId="1" shapeId="0" xr:uid="{2EC5FCC5-29A7-407F-906D-6CBD7B378BB1}">
      <text>
        <r>
          <rPr>
            <b/>
            <sz val="9"/>
            <color indexed="81"/>
            <rFont val="Tahoma"/>
            <family val="2"/>
          </rPr>
          <t>Scott Koenig:</t>
        </r>
        <r>
          <rPr>
            <sz val="9"/>
            <color indexed="81"/>
            <rFont val="Tahoma"/>
            <family val="2"/>
          </rPr>
          <t xml:space="preserve">
Waste Industries Annual Contract - $15,921.
Town Hall Roll Offs - Spring Clean Up Week - $5,079.  Iron Mountain (Shredding) - $1,000.  Dog Waste Bags - $5,000.  Misc. Tipping Fees &amp; Enclosure Repairs - $600.  Use </t>
        </r>
      </text>
    </comment>
    <comment ref="AA120" authorId="0" shapeId="0" xr:uid="{1323968A-E6A0-4047-82D5-687B79032783}">
      <text>
        <r>
          <rPr>
            <b/>
            <sz val="9"/>
            <color indexed="81"/>
            <rFont val="Tahoma"/>
            <family val="2"/>
          </rPr>
          <t>Sheena Gossett:</t>
        </r>
        <r>
          <rPr>
            <sz val="9"/>
            <color indexed="81"/>
            <rFont val="Tahoma"/>
            <family val="2"/>
          </rPr>
          <t xml:space="preserve">
Waste Industries Annual Contract - $15,921.
 Iron Mountain (Shredding) - $1,000.  Dog Waste Bags - $5,000.  Misc. Tipping Fees &amp; Enclosure Repairs - $600.  Use </t>
        </r>
      </text>
    </comment>
    <comment ref="W121" authorId="0" shapeId="0" xr:uid="{987E06A3-9A50-4BC8-BE5B-D39E93AA660F}">
      <text>
        <r>
          <rPr>
            <b/>
            <sz val="9"/>
            <color indexed="81"/>
            <rFont val="Tahoma"/>
            <family val="2"/>
          </rPr>
          <t>Sheena Gossett:</t>
        </r>
        <r>
          <rPr>
            <sz val="9"/>
            <color indexed="81"/>
            <rFont val="Tahoma"/>
            <family val="2"/>
          </rPr>
          <t xml:space="preserve">
Credit from Delmarva power for FY2019 expired this year.
Charges offset from reimbursement from MSA grant
</t>
        </r>
      </text>
    </comment>
    <comment ref="AA124" authorId="0" shapeId="0" xr:uid="{16277362-94E4-42A2-A49B-BA409A2E8965}">
      <text>
        <r>
          <rPr>
            <b/>
            <sz val="9"/>
            <color indexed="81"/>
            <rFont val="Tahoma"/>
            <family val="2"/>
          </rPr>
          <t>Sheena Gossett:</t>
        </r>
        <r>
          <rPr>
            <sz val="9"/>
            <color indexed="81"/>
            <rFont val="Tahoma"/>
            <family val="2"/>
          </rPr>
          <t xml:space="preserve">
These expenditures are accounted for in other line items (street &amp; traffic lights, signs, etc) then reimbursed out of the MSA account
</t>
        </r>
      </text>
    </comment>
    <comment ref="AA126" authorId="0" shapeId="0" xr:uid="{9288A902-1394-440F-9296-B8F64AEF54C7}">
      <text>
        <r>
          <rPr>
            <b/>
            <sz val="9"/>
            <color indexed="81"/>
            <rFont val="Tahoma"/>
            <family val="2"/>
          </rPr>
          <t>Sheena Gossett:</t>
        </r>
        <r>
          <rPr>
            <sz val="9"/>
            <color indexed="81"/>
            <rFont val="Tahoma"/>
            <family val="2"/>
          </rPr>
          <t xml:space="preserve">
not budget line item per bill s.</t>
        </r>
      </text>
    </comment>
    <comment ref="Y132" authorId="1" shapeId="0" xr:uid="{82D633E2-CF71-4788-8CCB-B7B5C9DDBA91}">
      <text>
        <r>
          <rPr>
            <b/>
            <sz val="9"/>
            <color indexed="81"/>
            <rFont val="Tahoma"/>
            <family val="2"/>
          </rPr>
          <t>Scott Koenig:</t>
        </r>
        <r>
          <rPr>
            <sz val="9"/>
            <color indexed="81"/>
            <rFont val="Tahoma"/>
            <family val="2"/>
          </rPr>
          <t xml:space="preserve">
4.47% increase due to OT &amp; hours worked for meetings.</t>
        </r>
      </text>
    </comment>
    <comment ref="AA132" authorId="0" shapeId="0" xr:uid="{DD8FD381-6E11-4A83-A37E-57AC9732D65D}">
      <text>
        <r>
          <rPr>
            <b/>
            <sz val="9"/>
            <color indexed="81"/>
            <rFont val="Tahoma"/>
            <family val="2"/>
          </rPr>
          <t>Sheena Gossett:</t>
        </r>
        <r>
          <rPr>
            <sz val="9"/>
            <color indexed="81"/>
            <rFont val="Tahoma"/>
            <family val="2"/>
          </rPr>
          <t xml:space="preserve">
4% raise </t>
        </r>
      </text>
    </comment>
    <comment ref="AA134" authorId="0" shapeId="0" xr:uid="{26A6AE49-3262-4981-B26C-2A2C8BC6CFFD}">
      <text>
        <r>
          <rPr>
            <b/>
            <sz val="9"/>
            <color indexed="81"/>
            <rFont val="Tahoma"/>
            <family val="2"/>
          </rPr>
          <t>Sheena Gossett:</t>
        </r>
        <r>
          <rPr>
            <sz val="9"/>
            <color indexed="81"/>
            <rFont val="Tahoma"/>
            <family val="2"/>
          </rPr>
          <t xml:space="preserve">
increased because budgeting for new TM to need full family benefits where SK only covered self on dental and didn't need medical.</t>
        </r>
      </text>
    </comment>
    <comment ref="Y137" authorId="1" shapeId="0" xr:uid="{BE7BBEAB-3515-42DE-8941-8D0FFF7EBA34}">
      <text>
        <r>
          <rPr>
            <b/>
            <sz val="9"/>
            <color indexed="81"/>
            <rFont val="Tahoma"/>
            <family val="2"/>
          </rPr>
          <t>Scott Koenig:</t>
        </r>
        <r>
          <rPr>
            <sz val="9"/>
            <color indexed="81"/>
            <rFont val="Tahoma"/>
            <family val="2"/>
          </rPr>
          <t xml:space="preserve">
0.89% change:  includes raises and change to employee benefits.</t>
        </r>
      </text>
    </comment>
    <comment ref="Y139" authorId="2" shapeId="0" xr:uid="{D15E85DD-CECB-4392-B5CA-6E10B0B35315}">
      <text>
        <r>
          <rPr>
            <b/>
            <sz val="9"/>
            <color indexed="81"/>
            <rFont val="Tahoma"/>
            <family val="2"/>
          </rPr>
          <t>skoenig: 8</t>
        </r>
        <r>
          <rPr>
            <sz val="9"/>
            <color indexed="81"/>
            <rFont val="Tahoma"/>
            <family val="2"/>
          </rPr>
          <t xml:space="preserve"> hoiurs per week  X 16 weeks X $12.00 per hour = $1,536.  Movies &amp; Bonfire:  8 weeks x 6 hours per week X $12.00 / hour = $576
use $2,100.  Add UD Summer Intern - $7,500.</t>
        </r>
      </text>
    </comment>
    <comment ref="AA139" authorId="0" shapeId="0" xr:uid="{EE364108-69E5-4461-BC05-D9182AA50958}">
      <text>
        <r>
          <rPr>
            <b/>
            <sz val="9"/>
            <color indexed="81"/>
            <rFont val="Tahoma"/>
            <family val="2"/>
          </rPr>
          <t>Sheena Gossett:</t>
        </r>
        <r>
          <rPr>
            <sz val="9"/>
            <color indexed="81"/>
            <rFont val="Tahoma"/>
            <family val="2"/>
          </rPr>
          <t xml:space="preserve">
The window duties for this position were covered by SG &amp; KB over summer 2020 and will done this next year also.  Bonfires &amp; Movie coverage done by volunteers
</t>
        </r>
      </text>
    </comment>
    <comment ref="AA144" authorId="0" shapeId="0" xr:uid="{9CD968BF-4531-4570-A300-1BA88C15DB3E}">
      <text>
        <r>
          <rPr>
            <b/>
            <sz val="9"/>
            <color indexed="81"/>
            <rFont val="Tahoma"/>
            <family val="2"/>
          </rPr>
          <t>Sheena Gossett:</t>
        </r>
        <r>
          <rPr>
            <sz val="9"/>
            <color indexed="81"/>
            <rFont val="Tahoma"/>
            <family val="2"/>
          </rPr>
          <t xml:space="preserve">
Comcast - 1,652.28
Delmarva Power - 3,505.65
Sussex Co - 1.825.32
Verizon - LD - 1.003.63
Verizon (3 accts) - 7,861.54</t>
        </r>
      </text>
    </comment>
    <comment ref="AA153" authorId="0" shapeId="0" xr:uid="{14627A29-3676-4CBB-A1E2-4B3757DF4F8C}">
      <text>
        <r>
          <rPr>
            <b/>
            <sz val="9"/>
            <color indexed="81"/>
            <rFont val="Tahoma"/>
            <family val="2"/>
          </rPr>
          <t>Sheena Gossett:</t>
        </r>
        <r>
          <rPr>
            <sz val="9"/>
            <color indexed="81"/>
            <rFont val="Tahoma"/>
            <family val="2"/>
          </rPr>
          <t xml:space="preserve">
mass mailings going out with postage included in printing package
all postage for town will go through this one account no matter what department
Postage Meter Rental - $720
Postage
10k - CE
7.5k - Admin
2.5k - election</t>
        </r>
      </text>
    </comment>
    <comment ref="S154" authorId="0" shapeId="0" xr:uid="{4D3B2E20-DA51-456C-94BC-DD0A12B62B8A}">
      <text>
        <r>
          <rPr>
            <b/>
            <sz val="9"/>
            <color indexed="81"/>
            <rFont val="Tahoma"/>
            <family val="2"/>
          </rPr>
          <t>Sheena Gossett:</t>
        </r>
        <r>
          <rPr>
            <sz val="9"/>
            <color indexed="81"/>
            <rFont val="Tahoma"/>
            <family val="2"/>
          </rPr>
          <t xml:space="preserve">
Lyons 400 / month - 4800
Shore Scan 17 / month - 2088</t>
        </r>
      </text>
    </comment>
    <comment ref="W154" authorId="0" shapeId="0" xr:uid="{8320E459-9BFA-4201-A8D0-2F9D6C5A757A}">
      <text>
        <r>
          <rPr>
            <b/>
            <sz val="9"/>
            <color indexed="81"/>
            <rFont val="Tahoma"/>
            <family val="2"/>
          </rPr>
          <t>Sheena Gossett:</t>
        </r>
        <r>
          <rPr>
            <sz val="9"/>
            <color indexed="81"/>
            <rFont val="Tahoma"/>
            <family val="2"/>
          </rPr>
          <t xml:space="preserve">
Lyons 400 / month - 4800
Shore Scan 17 / month - 2088</t>
        </r>
      </text>
    </comment>
    <comment ref="Y154" authorId="1" shapeId="0" xr:uid="{90F5390C-4D53-4664-BBDF-66144D436989}">
      <text>
        <r>
          <rPr>
            <b/>
            <sz val="9"/>
            <color indexed="81"/>
            <rFont val="Tahoma"/>
            <family val="2"/>
          </rPr>
          <t>Scott Koenig:</t>
        </r>
        <r>
          <rPr>
            <sz val="9"/>
            <color indexed="81"/>
            <rFont val="Tahoma"/>
            <family val="2"/>
          </rPr>
          <t xml:space="preserve">
Payroll Processing - $5,000 Est.; Monthly accounting fees ($2,000); $28,350 for J. Dedes; HR Consultant - $700 X 12 = $8,400 ; ShoreScan $174 X 12 = $2,088.</t>
        </r>
      </text>
    </comment>
    <comment ref="AA154" authorId="0" shapeId="0" xr:uid="{A64F9919-9655-4036-8C87-770C7F02E24A}">
      <text>
        <r>
          <rPr>
            <b/>
            <sz val="9"/>
            <color indexed="81"/>
            <rFont val="Tahoma"/>
            <family val="2"/>
          </rPr>
          <t>Sheena Gossett:</t>
        </r>
        <r>
          <rPr>
            <sz val="9"/>
            <color indexed="81"/>
            <rFont val="Tahoma"/>
            <family val="2"/>
          </rPr>
          <t xml:space="preserve">
Replaced Luff w/ Financial Director - same rate, Jim Dedes $29,768, EZPayroll - $3,116.94, Lyons - increase in amount ot $700 per month = 8,400, Sure Scan - $2,583 (174 / mo + 495 annual), EAP Services $975</t>
        </r>
      </text>
    </comment>
    <comment ref="Y155" authorId="1" shapeId="0" xr:uid="{6BE489D7-FF82-4A7D-98D2-18FC33BB327D}">
      <text>
        <r>
          <rPr>
            <b/>
            <sz val="9"/>
            <color indexed="81"/>
            <rFont val="Tahoma"/>
            <family val="2"/>
          </rPr>
          <t>Scott Koenig:</t>
        </r>
        <r>
          <rPr>
            <sz val="9"/>
            <color indexed="81"/>
            <rFont val="Tahoma"/>
            <family val="2"/>
          </rPr>
          <t xml:space="preserve">
Public Officials Liability Insurance: $57,000 (est.). 50% of Town Hall Flood Insurance: $1,857; General Liability: 36% of $42,000 = $15,120.  As of 02/28/2020.</t>
        </r>
      </text>
    </comment>
    <comment ref="AA157" authorId="0" shapeId="0" xr:uid="{156E114E-6EDE-4ABA-9AC5-3F38175835B6}">
      <text>
        <r>
          <rPr>
            <b/>
            <sz val="9"/>
            <color indexed="81"/>
            <rFont val="Tahoma"/>
            <family val="2"/>
          </rPr>
          <t>Sheena Gossett:</t>
        </r>
        <r>
          <rPr>
            <sz val="9"/>
            <color indexed="81"/>
            <rFont val="Tahoma"/>
            <family val="2"/>
          </rPr>
          <t xml:space="preserve">
More virtual training due to pandemic.</t>
        </r>
      </text>
    </comment>
    <comment ref="AA159" authorId="0" shapeId="0" xr:uid="{F9B9C069-6FD1-422A-B3C7-669D6D8A74C9}">
      <text>
        <r>
          <rPr>
            <b/>
            <sz val="9"/>
            <color indexed="81"/>
            <rFont val="Tahoma"/>
            <family val="2"/>
          </rPr>
          <t>Sheena Gossett:</t>
        </r>
        <r>
          <rPr>
            <sz val="9"/>
            <color indexed="81"/>
            <rFont val="Tahoma"/>
            <family val="2"/>
          </rPr>
          <t xml:space="preserve">
doubled from FY21 due to printing more out of house</t>
        </r>
      </text>
    </comment>
    <comment ref="Y166" authorId="1" shapeId="0" xr:uid="{F5F7B0FE-FA57-4931-87C7-51CA9B594386}">
      <text>
        <r>
          <rPr>
            <b/>
            <sz val="9"/>
            <color indexed="81"/>
            <rFont val="Tahoma"/>
            <family val="2"/>
          </rPr>
          <t>Scott Koenig:</t>
        </r>
        <r>
          <rPr>
            <sz val="9"/>
            <color indexed="81"/>
            <rFont val="Tahoma"/>
            <family val="2"/>
          </rPr>
          <t xml:space="preserve">
Estimated Payroll: $628,379 plus $10K for summer months = $638,500 (rounded).  Delete $10K - SDK - 03/16/2020.
</t>
        </r>
      </text>
    </comment>
    <comment ref="AA166" authorId="0" shapeId="0" xr:uid="{75BC05B0-B50B-4F7A-BDEA-00AB788498EB}">
      <text>
        <r>
          <rPr>
            <b/>
            <sz val="9"/>
            <color indexed="81"/>
            <rFont val="Tahoma"/>
            <family val="2"/>
          </rPr>
          <t>Sheena Gossett:</t>
        </r>
        <r>
          <rPr>
            <sz val="9"/>
            <color indexed="81"/>
            <rFont val="Tahoma"/>
            <family val="2"/>
          </rPr>
          <t xml:space="preserve">
4% increase</t>
        </r>
      </text>
    </comment>
    <comment ref="AA168" authorId="0" shapeId="0" xr:uid="{6300ADAD-6CB7-4883-8335-83DCA8253CF3}">
      <text>
        <r>
          <rPr>
            <b/>
            <sz val="9"/>
            <color indexed="81"/>
            <rFont val="Tahoma"/>
            <family val="2"/>
          </rPr>
          <t>Sheena Gossett:</t>
        </r>
        <r>
          <rPr>
            <sz val="9"/>
            <color indexed="81"/>
            <rFont val="Tahoma"/>
            <family val="2"/>
          </rPr>
          <t xml:space="preserve">
includes taxes on special event payroll
</t>
        </r>
      </text>
    </comment>
    <comment ref="AA169" authorId="0" shapeId="0" xr:uid="{AFE67235-A8DE-494D-9397-01BA6E234409}">
      <text>
        <r>
          <rPr>
            <b/>
            <sz val="9"/>
            <color indexed="81"/>
            <rFont val="Tahoma"/>
            <family val="2"/>
          </rPr>
          <t>Sheena Gossett:</t>
        </r>
        <r>
          <rPr>
            <sz val="9"/>
            <color indexed="81"/>
            <rFont val="Tahoma"/>
            <family val="2"/>
          </rPr>
          <t xml:space="preserve">
benefit total down b/c lost ee who had full fam cov replaced by ee w/only ee &amp; spouse</t>
        </r>
      </text>
    </comment>
    <comment ref="AA170" authorId="0" shapeId="0" xr:uid="{DE402B38-4826-487D-B7CD-0553966FF59E}">
      <text>
        <r>
          <rPr>
            <b/>
            <sz val="9"/>
            <color indexed="81"/>
            <rFont val="Tahoma"/>
            <charset val="1"/>
          </rPr>
          <t>Sheena Gossett:</t>
        </r>
        <r>
          <rPr>
            <sz val="9"/>
            <color indexed="81"/>
            <rFont val="Tahoma"/>
            <charset val="1"/>
          </rPr>
          <t xml:space="preserve">
16.84% from April - June
16.03% for July - March</t>
        </r>
      </text>
    </comment>
    <comment ref="Y171" authorId="1" shapeId="0" xr:uid="{219CD3CA-7D5B-4FE8-9FD1-A4D8CBC3D577}">
      <text>
        <r>
          <rPr>
            <b/>
            <sz val="9"/>
            <color indexed="81"/>
            <rFont val="Tahoma"/>
            <family val="2"/>
          </rPr>
          <t>Scott Koenig:</t>
        </r>
        <r>
          <rPr>
            <sz val="9"/>
            <color indexed="81"/>
            <rFont val="Tahoma"/>
            <family val="2"/>
          </rPr>
          <t xml:space="preserve">
Reduced from $8,000 to $7,500 on 03/17/2020 to get to a balanced budget.  SDK</t>
        </r>
      </text>
    </comment>
    <comment ref="AA171" authorId="0" shapeId="0" xr:uid="{7FB4A078-891F-40BF-8B79-6146E0E3B868}">
      <text>
        <r>
          <rPr>
            <b/>
            <sz val="9"/>
            <color indexed="81"/>
            <rFont val="Tahoma"/>
            <family val="2"/>
          </rPr>
          <t>Sheena Gossett:</t>
        </r>
        <r>
          <rPr>
            <sz val="9"/>
            <color indexed="81"/>
            <rFont val="Tahoma"/>
            <family val="2"/>
          </rPr>
          <t xml:space="preserve">
New bullet proof vests are needed
</t>
        </r>
      </text>
    </comment>
    <comment ref="Y173" authorId="1" shapeId="0" xr:uid="{3C75A868-429A-414C-B1CB-0DCE9223E00A}">
      <text>
        <r>
          <rPr>
            <b/>
            <sz val="9"/>
            <color indexed="81"/>
            <rFont val="Tahoma"/>
            <family val="2"/>
          </rPr>
          <t>Scott Koenig:</t>
        </r>
        <r>
          <rPr>
            <sz val="9"/>
            <color indexed="81"/>
            <rFont val="Tahoma"/>
            <family val="2"/>
          </rPr>
          <t xml:space="preserve">
9.19% increase of prior year.</t>
        </r>
      </text>
    </comment>
    <comment ref="AA173" authorId="0" shapeId="0" xr:uid="{89CE428A-BA9E-4868-9FBD-6952F1681C15}">
      <text>
        <r>
          <rPr>
            <b/>
            <sz val="9"/>
            <color indexed="81"/>
            <rFont val="Tahoma"/>
            <family val="2"/>
          </rPr>
          <t>Sheena Gossett:</t>
        </r>
        <r>
          <rPr>
            <sz val="9"/>
            <color indexed="81"/>
            <rFont val="Tahoma"/>
            <family val="2"/>
          </rPr>
          <t xml:space="preserve">
Difference between here &amp; ee obligation chart is Special Event payroll (with taxes) and uniforms
</t>
        </r>
      </text>
    </comment>
    <comment ref="AA175" authorId="0" shapeId="0" xr:uid="{5C366967-4C01-4918-A6F9-2095882C157F}">
      <text>
        <r>
          <rPr>
            <b/>
            <sz val="9"/>
            <color indexed="81"/>
            <rFont val="Tahoma"/>
            <family val="2"/>
          </rPr>
          <t>Sheena Gossett:</t>
        </r>
        <r>
          <rPr>
            <sz val="9"/>
            <color indexed="81"/>
            <rFont val="Tahoma"/>
            <family val="2"/>
          </rPr>
          <t xml:space="preserve">
4% increase</t>
        </r>
      </text>
    </comment>
    <comment ref="Y182" authorId="1" shapeId="0" xr:uid="{8B6CDE63-30DC-45BE-B342-EE9C5CA6514C}">
      <text>
        <r>
          <rPr>
            <b/>
            <sz val="9"/>
            <color indexed="81"/>
            <rFont val="Tahoma"/>
            <family val="2"/>
          </rPr>
          <t>Scott Koenig:</t>
        </r>
        <r>
          <rPr>
            <sz val="9"/>
            <color indexed="81"/>
            <rFont val="Tahoma"/>
            <family val="2"/>
          </rPr>
          <t xml:space="preserve">
20 Officers - (10 @ $13.50, 10 @ $13.75) x 40 hours X 18 weeks = $196,200.  Dispatchers (2 x 40 x 18 weeks x $11.00 per hour = $15,840.  Total: $212,040.
</t>
        </r>
      </text>
    </comment>
    <comment ref="AA182" authorId="0" shapeId="0" xr:uid="{5B191A5B-C4AC-45FC-8FA9-7CCF49E3AC35}">
      <text>
        <r>
          <rPr>
            <b/>
            <sz val="9"/>
            <color indexed="81"/>
            <rFont val="Tahoma"/>
            <family val="2"/>
          </rPr>
          <t>Sheena Gossett:</t>
        </r>
        <r>
          <rPr>
            <sz val="9"/>
            <color indexed="81"/>
            <rFont val="Tahoma"/>
            <family val="2"/>
          </rPr>
          <t xml:space="preserve">
20 officers
match 1st &amp; 2nd year pay of lifeguards for 1st &amp; 2nd year guards</t>
        </r>
      </text>
    </comment>
    <comment ref="AA188" authorId="0" shapeId="0" xr:uid="{CD86C542-A063-47EE-8A4C-4DA3B04DE272}">
      <text>
        <r>
          <rPr>
            <b/>
            <sz val="9"/>
            <color indexed="81"/>
            <rFont val="Tahoma"/>
            <family val="2"/>
          </rPr>
          <t>Sheena Gossett:</t>
        </r>
        <r>
          <rPr>
            <sz val="9"/>
            <color indexed="81"/>
            <rFont val="Tahoma"/>
            <family val="2"/>
          </rPr>
          <t xml:space="preserve">
Comcast - 1,652.28
Video Server - 2,144.64
Delmarva Power - 3,505.65
Sussex Co - 1.825.32
Verizon 6,811.03
Verizon Wireless(3 accts) - 6,779.50
</t>
        </r>
      </text>
    </comment>
    <comment ref="Y194" authorId="1" shapeId="0" xr:uid="{863D813F-5D18-4459-AF08-51B722F9543E}">
      <text>
        <r>
          <rPr>
            <b/>
            <sz val="9"/>
            <color indexed="81"/>
            <rFont val="Tahoma"/>
            <family val="2"/>
          </rPr>
          <t>Scott Koenig:</t>
        </r>
        <r>
          <rPr>
            <sz val="9"/>
            <color indexed="81"/>
            <rFont val="Tahoma"/>
            <family val="2"/>
          </rPr>
          <t xml:space="preserve">
Reduced from $27K to $26K on 03/16/2020.</t>
        </r>
      </text>
    </comment>
    <comment ref="AA194" authorId="0" shapeId="0" xr:uid="{44DE5954-F77B-4547-B663-F7D32D556CE3}">
      <text>
        <r>
          <rPr>
            <b/>
            <sz val="9"/>
            <color indexed="81"/>
            <rFont val="Tahoma"/>
            <family val="2"/>
          </rPr>
          <t>Sheena Gossett:</t>
        </r>
        <r>
          <rPr>
            <sz val="9"/>
            <color indexed="81"/>
            <rFont val="Tahoma"/>
            <family val="2"/>
          </rPr>
          <t xml:space="preserve">
Monthly avg for FY21 is $2,021.98 but prices are going back up.</t>
        </r>
      </text>
    </comment>
    <comment ref="AA196" authorId="0" shapeId="0" xr:uid="{6002DA47-1F28-46D2-8002-B2E95B279F9C}">
      <text>
        <r>
          <rPr>
            <b/>
            <sz val="9"/>
            <color indexed="81"/>
            <rFont val="Tahoma"/>
            <family val="2"/>
          </rPr>
          <t>Sheena Gossett:</t>
        </r>
        <r>
          <rPr>
            <sz val="9"/>
            <color indexed="81"/>
            <rFont val="Tahoma"/>
            <family val="2"/>
          </rPr>
          <t xml:space="preserve">
vehicles are aging leading to more repairs</t>
        </r>
      </text>
    </comment>
    <comment ref="Y200" authorId="1" shapeId="0" xr:uid="{A191B57B-9CE8-4A83-AD77-A0A7A5FF7F5E}">
      <text>
        <r>
          <rPr>
            <b/>
            <sz val="9"/>
            <color indexed="81"/>
            <rFont val="Tahoma"/>
            <family val="2"/>
          </rPr>
          <t>Scott Koenig:</t>
        </r>
        <r>
          <rPr>
            <sz val="9"/>
            <color indexed="81"/>
            <rFont val="Tahoma"/>
            <family val="2"/>
          </rPr>
          <t xml:space="preserve">
Lexipol subscription - $7,000.  Strategic Plan - $2,500.  Misc. Support - $7,500
.</t>
        </r>
      </text>
    </comment>
    <comment ref="AA200" authorId="0" shapeId="0" xr:uid="{4D1A83E9-F92E-4DDD-B77B-DED82A582E94}">
      <text>
        <r>
          <rPr>
            <b/>
            <sz val="9"/>
            <color indexed="81"/>
            <rFont val="Tahoma"/>
            <family val="2"/>
          </rPr>
          <t>Sheena Gossett:</t>
        </r>
        <r>
          <rPr>
            <sz val="9"/>
            <color indexed="81"/>
            <rFont val="Tahoma"/>
            <family val="2"/>
          </rPr>
          <t xml:space="preserve">
Lexipol subscription - $7,000.  Strategic Plan - $2,500.  Misc. Support - $7,500.  Additional funds for major policy review requested by Chief</t>
        </r>
      </text>
    </comment>
    <comment ref="Y202" authorId="1" shapeId="0" xr:uid="{6EBF8038-A33A-442F-902E-C1B74B95319A}">
      <text>
        <r>
          <rPr>
            <b/>
            <sz val="9"/>
            <color indexed="81"/>
            <rFont val="Tahoma"/>
            <family val="2"/>
          </rPr>
          <t>Scott Koenig:</t>
        </r>
        <r>
          <rPr>
            <sz val="9"/>
            <color indexed="81"/>
            <rFont val="Tahoma"/>
            <family val="2"/>
          </rPr>
          <t xml:space="preserve">
Law Enforcement Liability Insurance: $50,000 (7/1/19); 50% of Flood Insurance: $1,857; 64% of General Liability &amp; Property ($42,000) = $26,880.  As of 02/28/2020</t>
        </r>
      </text>
    </comment>
    <comment ref="AA202" authorId="0" shapeId="0" xr:uid="{5198B56C-2401-48C4-BA91-909F48C00619}">
      <text>
        <r>
          <rPr>
            <b/>
            <sz val="9"/>
            <color indexed="81"/>
            <rFont val="Tahoma"/>
            <family val="2"/>
          </rPr>
          <t>Sheena Gossett:</t>
        </r>
        <r>
          <rPr>
            <sz val="9"/>
            <color indexed="81"/>
            <rFont val="Tahoma"/>
            <family val="2"/>
          </rPr>
          <t xml:space="preserve">
rates decreaseing
</t>
        </r>
      </text>
    </comment>
    <comment ref="AA203" authorId="0" shapeId="0" xr:uid="{005D92C1-0013-4E96-90B7-091545B30DF4}">
      <text>
        <r>
          <rPr>
            <b/>
            <sz val="9"/>
            <color indexed="81"/>
            <rFont val="Tahoma"/>
            <family val="2"/>
          </rPr>
          <t>Sheena Gossett:</t>
        </r>
        <r>
          <rPr>
            <sz val="9"/>
            <color indexed="81"/>
            <rFont val="Tahoma"/>
            <family val="2"/>
          </rPr>
          <t xml:space="preserve">
based on FY21 usage</t>
        </r>
      </text>
    </comment>
    <comment ref="Y204" authorId="1" shapeId="0" xr:uid="{CD7440DE-62F0-4964-8DE1-C78366200393}">
      <text>
        <r>
          <rPr>
            <b/>
            <sz val="9"/>
            <color indexed="81"/>
            <rFont val="Tahoma"/>
            <family val="2"/>
          </rPr>
          <t>Scott Koenig:</t>
        </r>
        <r>
          <rPr>
            <sz val="9"/>
            <color indexed="81"/>
            <rFont val="Tahoma"/>
            <family val="2"/>
          </rPr>
          <t xml:space="preserve">
$985 - for liability training for seasonal officers; $495 for sound meter training of seasonal officers; $1200 for general training at DE State Fire School
; $985 for Active Shoorter Training (4 hours - FT officers); De-Escalation Training - $1,200.   03/07/2020 - DM request $7-8K; use $7,500</t>
        </r>
      </text>
    </comment>
    <comment ref="AA204" authorId="0" shapeId="0" xr:uid="{0F4DBE25-B23F-4ACF-8D01-F64B2CEBDE84}">
      <text>
        <r>
          <rPr>
            <b/>
            <sz val="9"/>
            <color indexed="81"/>
            <rFont val="Tahoma"/>
            <family val="2"/>
          </rPr>
          <t>Sheena Gossett:</t>
        </r>
        <r>
          <rPr>
            <sz val="9"/>
            <color indexed="81"/>
            <rFont val="Tahoma"/>
            <family val="2"/>
          </rPr>
          <t xml:space="preserve">
Additional funds for training requested by Chief
</t>
        </r>
      </text>
    </comment>
    <comment ref="Y214" authorId="1" shapeId="0" xr:uid="{5961AA53-F950-48F0-A668-08C20485B890}">
      <text>
        <r>
          <rPr>
            <b/>
            <sz val="9"/>
            <color indexed="81"/>
            <rFont val="Tahoma"/>
            <family val="2"/>
          </rPr>
          <t>Scott Koenig:</t>
        </r>
        <r>
          <rPr>
            <sz val="9"/>
            <color indexed="81"/>
            <rFont val="Tahoma"/>
            <family val="2"/>
          </rPr>
          <t xml:space="preserve">
03/07/2020 - Commissioner Cooke requested 20 hours per week summer help = 20 hours x 18 weeks x $15.00 per hour = $5,400.  Remove $5,400 as not required.</t>
        </r>
      </text>
    </comment>
    <comment ref="AA214" authorId="0" shapeId="0" xr:uid="{488BA59E-5AD1-4D85-ACCC-02112796EF3A}">
      <text>
        <r>
          <rPr>
            <b/>
            <sz val="9"/>
            <color indexed="81"/>
            <rFont val="Tahoma"/>
            <family val="2"/>
          </rPr>
          <t>Sheena Gossett:</t>
        </r>
        <r>
          <rPr>
            <sz val="9"/>
            <color indexed="81"/>
            <rFont val="Tahoma"/>
            <family val="2"/>
          </rPr>
          <t xml:space="preserve">
no part time assistance for mowing
part time help per JD
4% raise </t>
        </r>
      </text>
    </comment>
    <comment ref="AA222" authorId="0" shapeId="0" xr:uid="{78F6299B-6765-4503-8CB3-C12727CA8CF2}">
      <text>
        <r>
          <rPr>
            <b/>
            <sz val="9"/>
            <color indexed="81"/>
            <rFont val="Tahoma"/>
            <family val="2"/>
          </rPr>
          <t>Sheena Gossett:</t>
        </r>
        <r>
          <rPr>
            <sz val="9"/>
            <color indexed="81"/>
            <rFont val="Tahoma"/>
            <family val="2"/>
          </rPr>
          <t xml:space="preserve">
City of Rehoboth - Water - 354.24, Delmarva Power - 1,143.26, Sewer - 295, Verizon - 779.88, Wireless 9 556.65</t>
        </r>
      </text>
    </comment>
    <comment ref="Y230" authorId="1" shapeId="0" xr:uid="{92F83FFD-020C-40B7-8811-7ACF8B856037}">
      <text>
        <r>
          <rPr>
            <b/>
            <sz val="9"/>
            <color indexed="81"/>
            <rFont val="Tahoma"/>
            <family val="2"/>
          </rPr>
          <t>Scott Koenig:</t>
        </r>
        <r>
          <rPr>
            <sz val="9"/>
            <color indexed="81"/>
            <rFont val="Tahoma"/>
            <family val="2"/>
          </rPr>
          <t xml:space="preserve">
This was formerly a worker's comp charge line.  </t>
        </r>
      </text>
    </comment>
    <comment ref="Y239" authorId="1" shapeId="0" xr:uid="{389191E3-DB12-4A0C-8D17-3D0AD5854C17}">
      <text>
        <r>
          <rPr>
            <b/>
            <sz val="9"/>
            <color indexed="81"/>
            <rFont val="Tahoma"/>
            <family val="2"/>
          </rPr>
          <t>Scott Koenig:</t>
        </r>
        <r>
          <rPr>
            <sz val="9"/>
            <color indexed="81"/>
            <rFont val="Tahoma"/>
            <family val="2"/>
          </rPr>
          <t xml:space="preserve">
Est. Wages:  $74,519 plus additional straight pay ($1,470) = $75,989; Use 10% addiitional overtime ($7,599) = $83,588.</t>
        </r>
      </text>
    </comment>
    <comment ref="AA239" authorId="0" shapeId="0" xr:uid="{7772DFAB-678F-45DE-9DD3-41FD7753B03E}">
      <text>
        <r>
          <rPr>
            <b/>
            <sz val="9"/>
            <color indexed="81"/>
            <rFont val="Tahoma"/>
            <family val="2"/>
          </rPr>
          <t>Sheena Gossett:</t>
        </r>
        <r>
          <rPr>
            <sz val="9"/>
            <color indexed="81"/>
            <rFont val="Tahoma"/>
            <family val="2"/>
          </rPr>
          <t xml:space="preserve">
4% raise however fewer extra hours worked as having more seasonal employees they can help.
</t>
        </r>
      </text>
    </comment>
    <comment ref="G246" authorId="2" shapeId="0" xr:uid="{D0BAEFF3-FD43-40E7-84B0-16F95E9D4A2E}">
      <text>
        <r>
          <rPr>
            <b/>
            <sz val="9"/>
            <color indexed="81"/>
            <rFont val="Tahoma"/>
            <family val="2"/>
          </rPr>
          <t>skoenig:</t>
        </r>
        <r>
          <rPr>
            <sz val="9"/>
            <color indexed="81"/>
            <rFont val="Tahoma"/>
            <family val="2"/>
          </rPr>
          <t xml:space="preserve">
5,600 manhours from 04/01/18-10/15/18
</t>
        </r>
      </text>
    </comment>
    <comment ref="Y247" authorId="1" shapeId="0" xr:uid="{80F79D08-52AC-4B83-8628-F5C36211A310}">
      <text>
        <r>
          <rPr>
            <b/>
            <sz val="9"/>
            <color indexed="81"/>
            <rFont val="Tahoma"/>
            <family val="2"/>
          </rPr>
          <t>Scott Koenig:</t>
        </r>
        <r>
          <rPr>
            <sz val="9"/>
            <color indexed="81"/>
            <rFont val="Tahoma"/>
            <family val="2"/>
          </rPr>
          <t xml:space="preserve">
Est. 6,000 hours @ $13.75 per hour = $82,500.  FY-20 rates were $12.50 - $13.50 
per hour.
</t>
        </r>
      </text>
    </comment>
    <comment ref="AA247" authorId="0" shapeId="0" xr:uid="{8F3E38B9-8CF6-465D-B4BB-BDE9FC1F95C8}">
      <text>
        <r>
          <rPr>
            <b/>
            <sz val="9"/>
            <color indexed="81"/>
            <rFont val="Tahoma"/>
            <family val="2"/>
          </rPr>
          <t>Sheena Gossett:</t>
        </r>
        <r>
          <rPr>
            <sz val="9"/>
            <color indexed="81"/>
            <rFont val="Tahoma"/>
            <family val="2"/>
          </rPr>
          <t xml:space="preserve">
Reduced hours and rate per workshop 01.21.21
6000 hrs / 22 weeks = 270 hrs / week / 10 employees = 27 hrs / ee / week @$14/hr = 84k
</t>
        </r>
      </text>
    </comment>
    <comment ref="AA253" authorId="0" shapeId="0" xr:uid="{7BB98CED-D10D-4910-801C-2B1EB1742E5B}">
      <text>
        <r>
          <rPr>
            <b/>
            <sz val="9"/>
            <color indexed="81"/>
            <rFont val="Tahoma"/>
            <family val="2"/>
          </rPr>
          <t>Sheena Gossett:</t>
        </r>
        <r>
          <rPr>
            <sz val="9"/>
            <color indexed="81"/>
            <rFont val="Tahoma"/>
            <family val="2"/>
          </rPr>
          <t xml:space="preserve">
Comcast - 3,302.64
Delmarva Power - 4,117.92
Sussex County Water - 1,039.56
Verizon Wireless + Merle compensation - 4,049.40</t>
        </r>
      </text>
    </comment>
    <comment ref="S254" authorId="0" shapeId="0" xr:uid="{04A099C1-61C8-4349-8712-E7AE68DA2327}">
      <text>
        <r>
          <rPr>
            <b/>
            <sz val="9"/>
            <color indexed="81"/>
            <rFont val="Tahoma"/>
            <family val="2"/>
          </rPr>
          <t>Sheena Gossett:</t>
        </r>
        <r>
          <rPr>
            <sz val="9"/>
            <color indexed="81"/>
            <rFont val="Tahoma"/>
            <family val="2"/>
          </rPr>
          <t xml:space="preserve">
Dept cleans offices themselves - does not like cleaning company</t>
        </r>
      </text>
    </comment>
    <comment ref="W254" authorId="0" shapeId="0" xr:uid="{3A275A91-A734-4D8C-8C87-9E96755D4FE8}">
      <text>
        <r>
          <rPr>
            <b/>
            <sz val="9"/>
            <color indexed="81"/>
            <rFont val="Tahoma"/>
            <family val="2"/>
          </rPr>
          <t>Sheena Gossett:</t>
        </r>
        <r>
          <rPr>
            <sz val="9"/>
            <color indexed="81"/>
            <rFont val="Tahoma"/>
            <family val="2"/>
          </rPr>
          <t xml:space="preserve">
Dept cleans offices themselves - does not like cleaning company</t>
        </r>
      </text>
    </comment>
    <comment ref="Y254" authorId="1" shapeId="0" xr:uid="{7016D8E6-D529-42B3-8EDC-CAC1EB743977}">
      <text>
        <r>
          <rPr>
            <b/>
            <sz val="9"/>
            <color indexed="81"/>
            <rFont val="Tahoma"/>
            <family val="2"/>
          </rPr>
          <t>Scott Koenig:</t>
        </r>
        <r>
          <rPr>
            <sz val="9"/>
            <color indexed="81"/>
            <rFont val="Tahoma"/>
            <family val="2"/>
          </rPr>
          <t xml:space="preserve">
Dept cleans offices themselves.  Does not want to use cleaning company</t>
        </r>
      </text>
    </comment>
    <comment ref="AA259" authorId="0" shapeId="0" xr:uid="{A54F09FC-43A7-4A87-AE68-BCFC13CBE270}">
      <text>
        <r>
          <rPr>
            <b/>
            <sz val="9"/>
            <color indexed="81"/>
            <rFont val="Tahoma"/>
            <charset val="1"/>
          </rPr>
          <t>Sheena Gossett:</t>
        </r>
        <r>
          <rPr>
            <sz val="9"/>
            <color indexed="81"/>
            <rFont val="Tahoma"/>
            <charset val="1"/>
          </rPr>
          <t xml:space="preserve">
for gator &amp; / or van
50% higher than lifeguards</t>
        </r>
      </text>
    </comment>
    <comment ref="AA261" authorId="0" shapeId="0" xr:uid="{7D6ECBF6-E734-4364-9CE3-EA15F8708613}">
      <text>
        <r>
          <rPr>
            <b/>
            <sz val="9"/>
            <color indexed="81"/>
            <rFont val="Tahoma"/>
            <charset val="1"/>
          </rPr>
          <t>Sheena Gossett:</t>
        </r>
        <r>
          <rPr>
            <sz val="9"/>
            <color indexed="81"/>
            <rFont val="Tahoma"/>
            <charset val="1"/>
          </rPr>
          <t xml:space="preserve">
added for gator and/or van</t>
        </r>
      </text>
    </comment>
    <comment ref="S264" authorId="0" shapeId="0" xr:uid="{56504EA4-092B-4C4F-9EE6-7520BD20AB5E}">
      <text>
        <r>
          <rPr>
            <b/>
            <sz val="9"/>
            <color indexed="81"/>
            <rFont val="Tahoma"/>
            <family val="2"/>
          </rPr>
          <t>Sheena Gossett:</t>
        </r>
        <r>
          <rPr>
            <sz val="9"/>
            <color indexed="81"/>
            <rFont val="Tahoma"/>
            <family val="2"/>
          </rPr>
          <t xml:space="preserve">
Department is purchasing stamps even though being allocated from TH postage charges</t>
        </r>
      </text>
    </comment>
    <comment ref="W264" authorId="0" shapeId="0" xr:uid="{63717A40-0678-4D55-91D2-D28B3EA90CA8}">
      <text>
        <r>
          <rPr>
            <b/>
            <sz val="9"/>
            <color indexed="81"/>
            <rFont val="Tahoma"/>
            <family val="2"/>
          </rPr>
          <t>Sheena Gossett:</t>
        </r>
        <r>
          <rPr>
            <sz val="9"/>
            <color indexed="81"/>
            <rFont val="Tahoma"/>
            <family val="2"/>
          </rPr>
          <t xml:space="preserve">
Department is purchasing stamps even though being allocated from TH postage charges</t>
        </r>
      </text>
    </comment>
    <comment ref="S265" authorId="0" shapeId="0" xr:uid="{581EEBBA-CDCD-4865-8354-8BCBDE92FEA4}">
      <text>
        <r>
          <rPr>
            <b/>
            <sz val="9"/>
            <color indexed="81"/>
            <rFont val="Tahoma"/>
            <family val="2"/>
          </rPr>
          <t>Sheena Gossett:</t>
        </r>
        <r>
          <rPr>
            <sz val="9"/>
            <color indexed="81"/>
            <rFont val="Tahoma"/>
            <family val="2"/>
          </rPr>
          <t xml:space="preserve">
Been Verified - Just added in January - hit credit card if February</t>
        </r>
      </text>
    </comment>
    <comment ref="W265" authorId="0" shapeId="0" xr:uid="{333D2983-8C72-49A3-8714-811553C2AAF3}">
      <text>
        <r>
          <rPr>
            <b/>
            <sz val="9"/>
            <color indexed="81"/>
            <rFont val="Tahoma"/>
            <family val="2"/>
          </rPr>
          <t>Sheena Gossett:</t>
        </r>
        <r>
          <rPr>
            <sz val="9"/>
            <color indexed="81"/>
            <rFont val="Tahoma"/>
            <family val="2"/>
          </rPr>
          <t xml:space="preserve">
Been Verified - Just added in January - hit credit card if February</t>
        </r>
      </text>
    </comment>
    <comment ref="S268" authorId="0" shapeId="0" xr:uid="{79900E95-898B-4E96-8B37-C2AB94CA1151}">
      <text>
        <r>
          <rPr>
            <b/>
            <sz val="9"/>
            <color indexed="81"/>
            <rFont val="Tahoma"/>
            <family val="2"/>
          </rPr>
          <t>Sheena Gossett:</t>
        </r>
        <r>
          <rPr>
            <sz val="9"/>
            <color indexed="81"/>
            <rFont val="Tahoma"/>
            <family val="2"/>
          </rPr>
          <t xml:space="preserve">
Supervisor weeklong trip to conference included in this total</t>
        </r>
      </text>
    </comment>
    <comment ref="W268" authorId="0" shapeId="0" xr:uid="{897C78BA-D695-4D0D-A5E3-C1542B13070A}">
      <text>
        <r>
          <rPr>
            <b/>
            <sz val="9"/>
            <color indexed="81"/>
            <rFont val="Tahoma"/>
            <family val="2"/>
          </rPr>
          <t>Sheena Gossett:</t>
        </r>
        <r>
          <rPr>
            <sz val="9"/>
            <color indexed="81"/>
            <rFont val="Tahoma"/>
            <family val="2"/>
          </rPr>
          <t xml:space="preserve">
Supervisor weeklong trip to conference included in this total</t>
        </r>
      </text>
    </comment>
    <comment ref="Y268" authorId="0" shapeId="0" xr:uid="{4E986808-5680-4912-B41B-6EC88995D189}">
      <text>
        <r>
          <rPr>
            <b/>
            <sz val="9"/>
            <color indexed="81"/>
            <rFont val="Tahoma"/>
            <family val="2"/>
          </rPr>
          <t>Sheena Gossett:</t>
        </r>
        <r>
          <rPr>
            <sz val="9"/>
            <color indexed="81"/>
            <rFont val="Tahoma"/>
            <family val="2"/>
          </rPr>
          <t xml:space="preserve">
</t>
        </r>
      </text>
    </comment>
    <comment ref="AA268" authorId="0" shapeId="0" xr:uid="{93C6F37E-64D6-404F-AFEC-2AD3DE9B5FCA}">
      <text>
        <r>
          <rPr>
            <b/>
            <sz val="9"/>
            <color indexed="81"/>
            <rFont val="Tahoma"/>
            <family val="2"/>
          </rPr>
          <t>Sheena Gossett:</t>
        </r>
        <r>
          <rPr>
            <sz val="9"/>
            <color indexed="81"/>
            <rFont val="Tahoma"/>
            <family val="2"/>
          </rPr>
          <t xml:space="preserve">
In person training frozen for year
</t>
        </r>
      </text>
    </comment>
    <comment ref="AA277" authorId="0" shapeId="0" xr:uid="{239767D8-7A6D-44F2-9115-4EEB9EAE6D33}">
      <text>
        <r>
          <rPr>
            <b/>
            <sz val="9"/>
            <color indexed="81"/>
            <rFont val="Tahoma"/>
            <family val="2"/>
          </rPr>
          <t>Sheena Gossett:</t>
        </r>
        <r>
          <rPr>
            <sz val="9"/>
            <color indexed="81"/>
            <rFont val="Tahoma"/>
            <family val="2"/>
          </rPr>
          <t xml:space="preserve">
removed extra person but kept 15k for assistance per workshop 01.21.21
added an additional part time employee.  This person would be out in the field keeping an eye on things to make sure there is no construction being done without permit.  Been difficult to do that to extent needed and approve permits to code.
4% raise </t>
        </r>
      </text>
    </comment>
    <comment ref="Y298" authorId="1" shapeId="0" xr:uid="{81DE666C-EEF3-43E5-8A72-B919E8E30E1B}">
      <text>
        <r>
          <rPr>
            <b/>
            <sz val="9"/>
            <color indexed="81"/>
            <rFont val="Tahoma"/>
            <family val="2"/>
          </rPr>
          <t>Scott Koenig:</t>
        </r>
        <r>
          <rPr>
            <sz val="9"/>
            <color indexed="81"/>
            <rFont val="Tahoma"/>
            <family val="2"/>
          </rPr>
          <t xml:space="preserve">
$70,500 less Sunday Court ($3,575) = $66,925.  No Increase for the Judges.  03/07/2020 - Use $71,925 Less Sunday Court ($3,575) = $68,350</t>
        </r>
      </text>
    </comment>
    <comment ref="AA298" authorId="0" shapeId="0" xr:uid="{F2FA8C66-64DE-40D7-9B2F-1D7D68F1570B}">
      <text>
        <r>
          <rPr>
            <b/>
            <sz val="9"/>
            <color indexed="81"/>
            <rFont val="Tahoma"/>
            <family val="2"/>
          </rPr>
          <t>Sheena Gossett:</t>
        </r>
        <r>
          <rPr>
            <sz val="9"/>
            <color indexed="81"/>
            <rFont val="Tahoma"/>
            <family val="2"/>
          </rPr>
          <t xml:space="preserve">
FY21 Budget didn't include bailiff pay in estimate
no raise for judges
new clerk at $16.50/hr</t>
        </r>
      </text>
    </comment>
    <comment ref="S299" authorId="0" shapeId="0" xr:uid="{2C17D00E-B9E4-41DF-9D27-5AEE1A4B29C4}">
      <text>
        <r>
          <rPr>
            <b/>
            <sz val="9"/>
            <color indexed="81"/>
            <rFont val="Tahoma"/>
            <family val="2"/>
          </rPr>
          <t>Sheena Gossett:</t>
        </r>
        <r>
          <rPr>
            <sz val="9"/>
            <color indexed="81"/>
            <rFont val="Tahoma"/>
            <family val="2"/>
          </rPr>
          <t xml:space="preserve">
This account is not being used</t>
        </r>
      </text>
    </comment>
    <comment ref="W299" authorId="0" shapeId="0" xr:uid="{1DC01073-7FDA-4F25-B361-225BAD38032C}">
      <text>
        <r>
          <rPr>
            <b/>
            <sz val="9"/>
            <color indexed="81"/>
            <rFont val="Tahoma"/>
            <family val="2"/>
          </rPr>
          <t>Sheena Gossett:</t>
        </r>
        <r>
          <rPr>
            <sz val="9"/>
            <color indexed="81"/>
            <rFont val="Tahoma"/>
            <family val="2"/>
          </rPr>
          <t xml:space="preserve">
This account is not being used</t>
        </r>
      </text>
    </comment>
    <comment ref="AA301" authorId="0" shapeId="0" xr:uid="{758E6403-3176-4893-8B27-082E1C85C3D0}">
      <text>
        <r>
          <rPr>
            <b/>
            <sz val="9"/>
            <color indexed="81"/>
            <rFont val="Tahoma"/>
            <family val="2"/>
          </rPr>
          <t>Sheena Gossett:</t>
        </r>
        <r>
          <rPr>
            <sz val="9"/>
            <color indexed="81"/>
            <rFont val="Tahoma"/>
            <family val="2"/>
          </rPr>
          <t xml:space="preserve">
Includes new robe for Assistant Alderman</t>
        </r>
      </text>
    </comment>
    <comment ref="Y305" authorId="2" shapeId="0" xr:uid="{5F0D3D2A-4065-4AA8-9827-E398DA44D6C5}">
      <text>
        <r>
          <rPr>
            <b/>
            <sz val="9"/>
            <color indexed="81"/>
            <rFont val="Tahoma"/>
            <family val="2"/>
          </rPr>
          <t>skoenig:</t>
        </r>
        <r>
          <rPr>
            <sz val="9"/>
            <color indexed="81"/>
            <rFont val="Tahoma"/>
            <family val="2"/>
          </rPr>
          <t xml:space="preserve">
Est. = $100.00 per month for 12 months.</t>
        </r>
      </text>
    </comment>
    <comment ref="AA305" authorId="0" shapeId="0" xr:uid="{22E7E2EE-F217-458F-803E-B6707162A72D}">
      <text>
        <r>
          <rPr>
            <b/>
            <sz val="9"/>
            <color indexed="81"/>
            <rFont val="Tahoma"/>
            <family val="2"/>
          </rPr>
          <t>Sheena Gossett:</t>
        </r>
        <r>
          <rPr>
            <sz val="9"/>
            <color indexed="81"/>
            <rFont val="Tahoma"/>
            <family val="2"/>
          </rPr>
          <t xml:space="preserve">
postage reduced due to changes in allocation</t>
        </r>
      </text>
    </comment>
    <comment ref="S307" authorId="0" shapeId="0" xr:uid="{C298539A-2432-410E-A0C2-52FA0F3418DC}">
      <text>
        <r>
          <rPr>
            <b/>
            <sz val="9"/>
            <color indexed="81"/>
            <rFont val="Tahoma"/>
            <family val="2"/>
          </rPr>
          <t>Sheena Gossett:</t>
        </r>
        <r>
          <rPr>
            <sz val="9"/>
            <color indexed="81"/>
            <rFont val="Tahoma"/>
            <family val="2"/>
          </rPr>
          <t xml:space="preserve">
No insurance charged to this department outside of WC</t>
        </r>
      </text>
    </comment>
    <comment ref="W307" authorId="0" shapeId="0" xr:uid="{E32EA7B2-81BD-49C5-928B-B3583B4F455D}">
      <text>
        <r>
          <rPr>
            <b/>
            <sz val="9"/>
            <color indexed="81"/>
            <rFont val="Tahoma"/>
            <family val="2"/>
          </rPr>
          <t>Sheena Gossett:</t>
        </r>
        <r>
          <rPr>
            <sz val="9"/>
            <color indexed="81"/>
            <rFont val="Tahoma"/>
            <family val="2"/>
          </rPr>
          <t xml:space="preserve">
No insurance charged to this department outside of WC</t>
        </r>
      </text>
    </comment>
    <comment ref="AA309" authorId="0" shapeId="0" xr:uid="{1674F99E-1AA5-4973-8DCE-632DF051F37E}">
      <text>
        <r>
          <rPr>
            <b/>
            <sz val="9"/>
            <color indexed="81"/>
            <rFont val="Tahoma"/>
            <family val="2"/>
          </rPr>
          <t>Sheena Gossett:</t>
        </r>
        <r>
          <rPr>
            <sz val="9"/>
            <color indexed="81"/>
            <rFont val="Tahoma"/>
            <family val="2"/>
          </rPr>
          <t xml:space="preserve">
New work table and new flag stands were requested ($200 &amp; $130 respectively)
</t>
        </r>
      </text>
    </comment>
    <comment ref="AA310" authorId="0" shapeId="0" xr:uid="{21DF67FE-56FD-464F-A7E4-2622CDDBFEE2}">
      <text>
        <r>
          <rPr>
            <b/>
            <sz val="9"/>
            <color indexed="81"/>
            <rFont val="Tahoma"/>
            <family val="2"/>
          </rPr>
          <t>Sheena Gossett:</t>
        </r>
        <r>
          <rPr>
            <sz val="9"/>
            <color indexed="81"/>
            <rFont val="Tahoma"/>
            <family val="2"/>
          </rPr>
          <t xml:space="preserve">
Would include alterations to clerk office</t>
        </r>
      </text>
    </comment>
    <comment ref="Y316" authorId="1" shapeId="0" xr:uid="{03D14CB9-D615-4C9F-B381-99C26FF95CD8}">
      <text>
        <r>
          <rPr>
            <b/>
            <sz val="9"/>
            <color indexed="81"/>
            <rFont val="Tahoma"/>
            <family val="2"/>
          </rPr>
          <t>Scott Koenig:</t>
        </r>
        <r>
          <rPr>
            <sz val="9"/>
            <color indexed="81"/>
            <rFont val="Tahoma"/>
            <family val="2"/>
          </rPr>
          <t xml:space="preserve">
4.62% increase includes Todd's wage recommendation and bay beach lifeguard hours.</t>
        </r>
      </text>
    </comment>
    <comment ref="AA316" authorId="0" shapeId="0" xr:uid="{C4C2FD74-4AF2-4134-8F16-401017871E72}">
      <text>
        <r>
          <rPr>
            <b/>
            <sz val="9"/>
            <color indexed="81"/>
            <rFont val="Tahoma"/>
            <family val="2"/>
          </rPr>
          <t>Sheena Gossett:</t>
        </r>
        <r>
          <rPr>
            <sz val="9"/>
            <color indexed="81"/>
            <rFont val="Tahoma"/>
            <family val="2"/>
          </rPr>
          <t xml:space="preserve">
21,404.50 regular hours
425.25 OT hours
$14.50 average rate
Todd - 17,200</t>
        </r>
      </text>
    </comment>
    <comment ref="AA319" authorId="0" shapeId="0" xr:uid="{4258E3B9-25D1-4DDC-B8BD-EE2E6A9753DD}">
      <text>
        <r>
          <rPr>
            <b/>
            <sz val="9"/>
            <color indexed="81"/>
            <rFont val="Tahoma"/>
            <family val="2"/>
          </rPr>
          <t>Sheena Gossett:</t>
        </r>
        <r>
          <rPr>
            <sz val="9"/>
            <color indexed="81"/>
            <rFont val="Tahoma"/>
            <family val="2"/>
          </rPr>
          <t xml:space="preserve">
per captain</t>
        </r>
      </text>
    </comment>
    <comment ref="Y320" authorId="1" shapeId="0" xr:uid="{01597368-6BB5-467F-8E63-DBA5D46EB94B}">
      <text>
        <r>
          <rPr>
            <b/>
            <sz val="9"/>
            <color indexed="81"/>
            <rFont val="Tahoma"/>
            <family val="2"/>
          </rPr>
          <t>Scott Koenig:</t>
        </r>
        <r>
          <rPr>
            <sz val="9"/>
            <color indexed="81"/>
            <rFont val="Tahoma"/>
            <family val="2"/>
          </rPr>
          <t xml:space="preserve">
$6.24 per $100.</t>
        </r>
      </text>
    </comment>
    <comment ref="AA320" authorId="0" shapeId="0" xr:uid="{C8C43B15-BD33-46DA-B24B-79B5BE9F1968}">
      <text>
        <r>
          <rPr>
            <b/>
            <sz val="9"/>
            <color indexed="81"/>
            <rFont val="Tahoma"/>
            <family val="2"/>
          </rPr>
          <t>Sheena Gossett:</t>
        </r>
        <r>
          <rPr>
            <sz val="9"/>
            <color indexed="81"/>
            <rFont val="Tahoma"/>
            <family val="2"/>
          </rPr>
          <t xml:space="preserve">
$6.24 per $100.</t>
        </r>
      </text>
    </comment>
    <comment ref="Y323" authorId="2" shapeId="0" xr:uid="{9339807C-091E-422A-9C71-34A6CE8DDC19}">
      <text>
        <r>
          <rPr>
            <b/>
            <sz val="9"/>
            <color indexed="81"/>
            <rFont val="Tahoma"/>
            <family val="2"/>
          </rPr>
          <t>skoenig:</t>
        </r>
        <r>
          <rPr>
            <sz val="9"/>
            <color indexed="81"/>
            <rFont val="Tahoma"/>
            <family val="2"/>
          </rPr>
          <t xml:space="preserve">
W/S: $1,300; Electric: $3,000; Internet (office): $1,600.  Internet (front of building) $1,500.  Telephone - $200.</t>
        </r>
      </text>
    </comment>
    <comment ref="AA323" authorId="0" shapeId="0" xr:uid="{ED20FD45-554A-4B6A-885C-410D17BE823E}">
      <text>
        <r>
          <rPr>
            <b/>
            <sz val="9"/>
            <color indexed="81"/>
            <rFont val="Tahoma"/>
            <family val="2"/>
          </rPr>
          <t>Sheena Gossett:</t>
        </r>
        <r>
          <rPr>
            <sz val="9"/>
            <color indexed="81"/>
            <rFont val="Tahoma"/>
            <family val="2"/>
          </rPr>
          <t xml:space="preserve">
Comcast - 4,231.80 - increased bandwidth, increased cost
Comcast - office - $2264.64
Delmarva Power - 1,869.91
Sussex County Water - 1,326.96</t>
        </r>
      </text>
    </comment>
    <comment ref="AA324" authorId="0" shapeId="0" xr:uid="{F7865A8D-47BA-46FD-A86A-0F25290CA74A}">
      <text>
        <r>
          <rPr>
            <b/>
            <sz val="9"/>
            <color indexed="81"/>
            <rFont val="Tahoma"/>
            <family val="2"/>
          </rPr>
          <t xml:space="preserve">Sheena Gossett:
</t>
        </r>
        <r>
          <rPr>
            <sz val="9"/>
            <color indexed="81"/>
            <rFont val="Tahoma"/>
            <family val="2"/>
          </rPr>
          <t>$50 per week during season</t>
        </r>
      </text>
    </comment>
    <comment ref="Y334" authorId="2" shapeId="0" xr:uid="{4BAFD21C-9A4E-47FD-A314-69E0BA1F186D}">
      <text>
        <r>
          <rPr>
            <b/>
            <sz val="9"/>
            <color indexed="81"/>
            <rFont val="Tahoma"/>
            <family val="2"/>
          </rPr>
          <t>skoenig:</t>
        </r>
        <r>
          <rPr>
            <sz val="9"/>
            <color indexed="81"/>
            <rFont val="Tahoma"/>
            <family val="2"/>
          </rPr>
          <t xml:space="preserve">
Flood Insurance: $986 (2/01/2020 - 2/01/2021)
</t>
        </r>
      </text>
    </comment>
    <comment ref="AA336" authorId="0" shapeId="0" xr:uid="{4AF4B22A-A662-49B8-823A-C635844229DF}">
      <text>
        <r>
          <rPr>
            <b/>
            <sz val="9"/>
            <color indexed="81"/>
            <rFont val="Tahoma"/>
            <family val="2"/>
          </rPr>
          <t>Sheena Gossett:</t>
        </r>
        <r>
          <rPr>
            <sz val="9"/>
            <color indexed="81"/>
            <rFont val="Tahoma"/>
            <family val="2"/>
          </rPr>
          <t xml:space="preserve">
EMT training &amp; USLA Certifications</t>
        </r>
      </text>
    </comment>
    <comment ref="Y337" authorId="1" shapeId="0" xr:uid="{DE1327A8-DC01-43D7-B723-FB3F19F37F98}">
      <text>
        <r>
          <rPr>
            <b/>
            <sz val="9"/>
            <color indexed="81"/>
            <rFont val="Tahoma"/>
            <family val="2"/>
          </rPr>
          <t>Scott Koenig:</t>
        </r>
        <r>
          <rPr>
            <sz val="9"/>
            <color indexed="81"/>
            <rFont val="Tahoma"/>
            <family val="2"/>
          </rPr>
          <t xml:space="preserve">
Dues &amp; Publicaitons: $425.00; Profess. Fees: $480; Office: $500; Misc.: $100; First Aid Supplies &amp; equip; $600; Postage $150.  Misc. Rain Gear - $500.</t>
        </r>
      </text>
    </comment>
    <comment ref="W339" authorId="0" shapeId="0" xr:uid="{1267A69F-D480-4A15-A9BA-5F7383C3F670}">
      <text>
        <r>
          <rPr>
            <b/>
            <sz val="9"/>
            <color indexed="81"/>
            <rFont val="Tahoma"/>
            <family val="2"/>
          </rPr>
          <t>Sheena Gossett:</t>
        </r>
        <r>
          <rPr>
            <sz val="9"/>
            <color indexed="81"/>
            <rFont val="Tahoma"/>
            <family val="2"/>
          </rPr>
          <t xml:space="preserve">
Includes beach wheelcharis</t>
        </r>
      </text>
    </comment>
    <comment ref="Y340" authorId="1" shapeId="0" xr:uid="{5170A1EF-29B3-4889-A217-49DFD3CEE6EF}">
      <text>
        <r>
          <rPr>
            <b/>
            <sz val="9"/>
            <color indexed="81"/>
            <rFont val="Tahoma"/>
            <family val="2"/>
          </rPr>
          <t>Scott Koenig:</t>
        </r>
        <r>
          <rPr>
            <sz val="9"/>
            <color indexed="81"/>
            <rFont val="Tahoma"/>
            <family val="2"/>
          </rPr>
          <t xml:space="preserve">
Expenses equal = donations for Beach Patrol, Junior Lifeguards &amp; Beach Patrol 
Competition - $10,000</t>
        </r>
      </text>
    </comment>
    <comment ref="AA341" authorId="0" shapeId="0" xr:uid="{C951E8B3-5970-410D-A7B3-0D3029D121CD}">
      <text>
        <r>
          <rPr>
            <b/>
            <sz val="9"/>
            <color indexed="81"/>
            <rFont val="Tahoma"/>
            <family val="2"/>
          </rPr>
          <t>Sheena Gossett:</t>
        </r>
        <r>
          <rPr>
            <sz val="9"/>
            <color indexed="81"/>
            <rFont val="Tahoma"/>
            <family val="2"/>
          </rPr>
          <t xml:space="preserve">
The last 4 years this has been higher than the $2300 Captain requested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Sheena Gossett</author>
    <author>Scott Koenig</author>
    <author>skoenig</author>
  </authors>
  <commentList>
    <comment ref="W2" authorId="0" shapeId="0" xr:uid="{DDEF6E3E-ED57-4CF5-B7E1-F48D4714B7A9}">
      <text>
        <r>
          <rPr>
            <b/>
            <sz val="9"/>
            <color indexed="81"/>
            <rFont val="Tahoma"/>
            <family val="2"/>
          </rPr>
          <t>Sheena Gossett:</t>
        </r>
        <r>
          <rPr>
            <sz val="9"/>
            <color indexed="81"/>
            <rFont val="Tahoma"/>
            <family val="2"/>
          </rPr>
          <t xml:space="preserve">
As of 11.30.2020.</t>
        </r>
      </text>
    </comment>
    <comment ref="Y7" authorId="1" shapeId="0" xr:uid="{3C91CD41-7FB9-4382-B082-491B355DAC90}">
      <text>
        <r>
          <rPr>
            <b/>
            <sz val="9"/>
            <color indexed="81"/>
            <rFont val="Tahoma"/>
            <family val="2"/>
          </rPr>
          <t>Scott Koenig:</t>
        </r>
        <r>
          <rPr>
            <sz val="9"/>
            <color indexed="81"/>
            <rFont val="Tahoma"/>
            <family val="2"/>
          </rPr>
          <t xml:space="preserve">
$630,000 seems reasonable as of 2/25/2020.  $600K discussed at 3/07/2020.  3/16/2020 - Use $605K - SDK
</t>
        </r>
      </text>
    </comment>
    <comment ref="AA7" authorId="0" shapeId="0" xr:uid="{DE269784-5427-47AE-97E8-157B75B2F3CD}">
      <text>
        <r>
          <rPr>
            <b/>
            <sz val="9"/>
            <color indexed="81"/>
            <rFont val="Tahoma"/>
            <family val="2"/>
          </rPr>
          <t>Sheena Gossett:</t>
        </r>
        <r>
          <rPr>
            <sz val="9"/>
            <color indexed="81"/>
            <rFont val="Tahoma"/>
            <family val="2"/>
          </rPr>
          <t xml:space="preserve">
23% higher than FY21 Budget
7% higher than 5 year average</t>
        </r>
      </text>
    </comment>
    <comment ref="Y9" authorId="1" shapeId="0" xr:uid="{CF1E3902-C679-4CB0-A7DF-73E70F64F802}">
      <text>
        <r>
          <rPr>
            <b/>
            <sz val="9"/>
            <color indexed="81"/>
            <rFont val="Tahoma"/>
            <family val="2"/>
          </rPr>
          <t>Scott Koenig:</t>
        </r>
        <r>
          <rPr>
            <sz val="9"/>
            <color indexed="81"/>
            <rFont val="Tahoma"/>
            <family val="2"/>
          </rPr>
          <t xml:space="preserve">
$475K discussed at 03/07/2020 meeting.</t>
        </r>
      </text>
    </comment>
    <comment ref="AA9" authorId="0" shapeId="0" xr:uid="{60F8F057-6BC6-4408-8385-3D6E703A9573}">
      <text>
        <r>
          <rPr>
            <b/>
            <sz val="9"/>
            <color indexed="81"/>
            <rFont val="Tahoma"/>
            <family val="2"/>
          </rPr>
          <t>Sheena Gossett:</t>
        </r>
        <r>
          <rPr>
            <sz val="9"/>
            <color indexed="81"/>
            <rFont val="Tahoma"/>
            <family val="2"/>
          </rPr>
          <t xml:space="preserve">
Kept same as possible extra enforcement will offset any loss do to continued pandemic</t>
        </r>
      </text>
    </comment>
    <comment ref="Y10" authorId="1" shapeId="0" xr:uid="{1AD0FC39-9410-42BC-BA63-F7A2AB600B51}">
      <text>
        <r>
          <rPr>
            <b/>
            <sz val="9"/>
            <color indexed="81"/>
            <rFont val="Tahoma"/>
            <family val="2"/>
          </rPr>
          <t>Scott Koenig:</t>
        </r>
        <r>
          <rPr>
            <sz val="9"/>
            <color indexed="81"/>
            <rFont val="Tahoma"/>
            <family val="2"/>
          </rPr>
          <t xml:space="preserve">
$57,350 is 3-year average.</t>
        </r>
      </text>
    </comment>
    <comment ref="Y19" authorId="1" shapeId="0" xr:uid="{E08547E4-55A1-49D7-8645-EB9F73F48C1C}">
      <text>
        <r>
          <rPr>
            <b/>
            <sz val="9"/>
            <color indexed="81"/>
            <rFont val="Tahoma"/>
            <family val="2"/>
          </rPr>
          <t>Scott Koenig:</t>
        </r>
        <r>
          <rPr>
            <sz val="9"/>
            <color indexed="81"/>
            <rFont val="Tahoma"/>
            <family val="2"/>
          </rPr>
          <t xml:space="preserve">
Increased from $225,000 to $227,500 on 02/24/2020.</t>
        </r>
      </text>
    </comment>
    <comment ref="AA20" authorId="0" shapeId="0" xr:uid="{B50BF946-E794-4901-A7F8-59F4F049B2C2}">
      <text>
        <r>
          <rPr>
            <b/>
            <sz val="9"/>
            <color indexed="81"/>
            <rFont val="Tahoma"/>
            <family val="2"/>
          </rPr>
          <t>Sheena Gossett:</t>
        </r>
        <r>
          <rPr>
            <sz val="9"/>
            <color indexed="81"/>
            <rFont val="Tahoma"/>
            <family val="2"/>
          </rPr>
          <t xml:space="preserve">
No longer needed</t>
        </r>
      </text>
    </comment>
    <comment ref="Y23" authorId="1" shapeId="0" xr:uid="{BD004FD6-716C-4BD1-B18E-0B42BE8788B1}">
      <text>
        <r>
          <rPr>
            <b/>
            <sz val="9"/>
            <color indexed="81"/>
            <rFont val="Tahoma"/>
            <family val="2"/>
          </rPr>
          <t>Scott Koenig:</t>
        </r>
        <r>
          <rPr>
            <sz val="9"/>
            <color indexed="81"/>
            <rFont val="Tahoma"/>
            <family val="2"/>
          </rPr>
          <t xml:space="preserve">
Use 800 permits X $250.00 = $200,000 and 800 permits x $150.00 = $120,000; Total = $320,000</t>
        </r>
      </text>
    </comment>
    <comment ref="AA23" authorId="0" shapeId="0" xr:uid="{1791E791-6156-4725-B66D-8F917C79CFE8}">
      <text>
        <r>
          <rPr>
            <b/>
            <sz val="9"/>
            <color indexed="81"/>
            <rFont val="Tahoma"/>
            <family val="2"/>
          </rPr>
          <t>Sheena Gossett:</t>
        </r>
        <r>
          <rPr>
            <sz val="9"/>
            <color indexed="81"/>
            <rFont val="Tahoma"/>
            <family val="2"/>
          </rPr>
          <t xml:space="preserve">
Put back to FY21 budget numbers per workshop 01.21.21
900 @ $150
300 @ $200
450 @ $250
908, 238 &amp; 381 summer 2020 respectively 
</t>
        </r>
      </text>
    </comment>
    <comment ref="Y24" authorId="1" shapeId="0" xr:uid="{25FD5A08-5E96-4232-B2E1-A3BD6F5D39BA}">
      <text>
        <r>
          <rPr>
            <b/>
            <sz val="9"/>
            <color indexed="81"/>
            <rFont val="Tahoma"/>
            <family val="2"/>
          </rPr>
          <t>Scott Koenig:</t>
        </r>
        <r>
          <rPr>
            <sz val="9"/>
            <color indexed="81"/>
            <rFont val="Tahoma"/>
            <family val="2"/>
          </rPr>
          <t xml:space="preserve">
Use $365,000 X 1.20 = $438,000.  $420,000 discussed at 03/07/2020 meeting.  Revise to $435K per GP email.</t>
        </r>
      </text>
    </comment>
    <comment ref="AA24" authorId="0" shapeId="0" xr:uid="{55EFC336-4625-41FD-BD94-28D4D347B685}">
      <text>
        <r>
          <rPr>
            <b/>
            <sz val="9"/>
            <color indexed="81"/>
            <rFont val="Tahoma"/>
            <family val="2"/>
          </rPr>
          <t>Sheena Gossett:</t>
        </r>
        <r>
          <rPr>
            <sz val="9"/>
            <color indexed="81"/>
            <rFont val="Tahoma"/>
            <family val="2"/>
          </rPr>
          <t xml:space="preserve">
Put back to FY21 budget numbers per workshop 01.21.21
Went with FY2020 actual amount as higher than averages but without enforcement, could stay down</t>
        </r>
      </text>
    </comment>
    <comment ref="Y25" authorId="1" shapeId="0" xr:uid="{F9607ED2-C6B6-4431-8370-7BC77CF633F9}">
      <text>
        <r>
          <rPr>
            <b/>
            <sz val="9"/>
            <color indexed="81"/>
            <rFont val="Tahoma"/>
            <family val="2"/>
          </rPr>
          <t>Scott Koenig:</t>
        </r>
        <r>
          <rPr>
            <sz val="9"/>
            <color indexed="81"/>
            <rFont val="Tahoma"/>
            <family val="2"/>
          </rPr>
          <t xml:space="preserve">
Use $345,000 X 1.25 = $431,250; therefore, use $435,000 plus $27,000 extra for variable pricing estimate for weekends.  Use $462K.  $440,000 disccused at 03/07/2020 meeting.
</t>
        </r>
      </text>
    </comment>
    <comment ref="AA25" authorId="0" shapeId="0" xr:uid="{A984E80B-5F5C-445E-982A-BBBFAFF4A108}">
      <text>
        <r>
          <rPr>
            <b/>
            <sz val="9"/>
            <color indexed="81"/>
            <rFont val="Tahoma"/>
            <family val="2"/>
          </rPr>
          <t>Sheena Gossett:</t>
        </r>
        <r>
          <rPr>
            <sz val="9"/>
            <color indexed="81"/>
            <rFont val="Tahoma"/>
            <family val="2"/>
          </rPr>
          <t xml:space="preserve">
Put back to FY21 budget numbers per workshop 01.21.21
Went with FY2020 actual amount as higher than averages but without enforcement, could stay down</t>
        </r>
      </text>
    </comment>
    <comment ref="AA28" authorId="0" shapeId="0" xr:uid="{D5191F0B-6CED-4666-A2A6-F197CCE14DE5}">
      <text>
        <r>
          <rPr>
            <b/>
            <sz val="9"/>
            <color indexed="81"/>
            <rFont val="Tahoma"/>
            <family val="2"/>
          </rPr>
          <t>Sheena Gossett:</t>
        </r>
        <r>
          <rPr>
            <sz val="9"/>
            <color indexed="81"/>
            <rFont val="Tahoma"/>
            <family val="2"/>
          </rPr>
          <t xml:space="preserve">
10% increase over historic low as even though properties are transferring, building revenue will depend on interest rates brought about by new administration</t>
        </r>
      </text>
    </comment>
    <comment ref="Y30" authorId="1" shapeId="0" xr:uid="{5C2525DA-A5BA-4B3A-9E59-421077587079}">
      <text>
        <r>
          <rPr>
            <b/>
            <sz val="9"/>
            <color indexed="81"/>
            <rFont val="Tahoma"/>
            <family val="2"/>
          </rPr>
          <t>Scott Koenig:</t>
        </r>
        <r>
          <rPr>
            <sz val="9"/>
            <color indexed="81"/>
            <rFont val="Tahoma"/>
            <family val="2"/>
          </rPr>
          <t xml:space="preserve">
Increased to $26K related to DM comments.  Reduce to $20K per GP email.</t>
        </r>
      </text>
    </comment>
    <comment ref="AA30" authorId="0" shapeId="0" xr:uid="{1C556FC7-71DB-4663-B978-17CBFB1E697C}">
      <text>
        <r>
          <rPr>
            <b/>
            <sz val="9"/>
            <color indexed="81"/>
            <rFont val="Tahoma"/>
            <family val="2"/>
          </rPr>
          <t>Sheena Gossett:</t>
        </r>
        <r>
          <rPr>
            <sz val="9"/>
            <color indexed="81"/>
            <rFont val="Tahoma"/>
            <family val="2"/>
          </rPr>
          <t xml:space="preserve">
Kept same due to ee's able to upsell many to lifetime license, thus limiting short term needs.  Online access to short term licenses may help but not substantial as transfering from in person to online</t>
        </r>
      </text>
    </comment>
    <comment ref="AA35" authorId="0" shapeId="0" xr:uid="{74F53B37-704E-4335-B888-7734DFB39C66}">
      <text>
        <r>
          <rPr>
            <b/>
            <sz val="9"/>
            <color indexed="81"/>
            <rFont val="Tahoma"/>
            <family val="2"/>
          </rPr>
          <t>Sheena Gossett:</t>
        </r>
        <r>
          <rPr>
            <sz val="9"/>
            <color indexed="81"/>
            <rFont val="Tahoma"/>
            <family val="2"/>
          </rPr>
          <t xml:space="preserve">
cut in half from FY2020 due to no enforcement in FY2020.  If enforcement stays low, revenue will be low</t>
        </r>
      </text>
    </comment>
    <comment ref="S36" authorId="0" shapeId="0" xr:uid="{3EB891C6-50D4-4471-860F-CE224BC75190}">
      <text>
        <r>
          <rPr>
            <b/>
            <sz val="9"/>
            <color indexed="81"/>
            <rFont val="Tahoma"/>
            <family val="2"/>
          </rPr>
          <t>Sheena Gossett:</t>
        </r>
        <r>
          <rPr>
            <sz val="9"/>
            <color indexed="81"/>
            <rFont val="Tahoma"/>
            <family val="2"/>
          </rPr>
          <t xml:space="preserve">
This is only collections from First Collect.  Any in-house collections of delinquent tickets are not stated as such.</t>
        </r>
      </text>
    </comment>
    <comment ref="W36" authorId="0" shapeId="0" xr:uid="{12334918-8731-4296-8BD8-E1D1D5135228}">
      <text>
        <r>
          <rPr>
            <b/>
            <sz val="9"/>
            <color indexed="81"/>
            <rFont val="Tahoma"/>
            <family val="2"/>
          </rPr>
          <t>Sheena Gossett:</t>
        </r>
        <r>
          <rPr>
            <sz val="9"/>
            <color indexed="81"/>
            <rFont val="Tahoma"/>
            <family val="2"/>
          </rPr>
          <t xml:space="preserve">
This is only collections from First Collect.  Any in-house collections of delinquent tickets are not stated as such.</t>
        </r>
      </text>
    </comment>
    <comment ref="AA36" authorId="0" shapeId="0" xr:uid="{795BA9D5-082C-4D9E-836F-033BDB5FB54A}">
      <text>
        <r>
          <rPr>
            <b/>
            <sz val="9"/>
            <color indexed="81"/>
            <rFont val="Tahoma"/>
            <family val="2"/>
          </rPr>
          <t>Sheena Gossett:</t>
        </r>
        <r>
          <rPr>
            <sz val="9"/>
            <color indexed="81"/>
            <rFont val="Tahoma"/>
            <family val="2"/>
          </rPr>
          <t xml:space="preserve">
this was for First Collect but have not been using them - collecting in house and all goes to parking tickets.</t>
        </r>
      </text>
    </comment>
    <comment ref="AA40" authorId="0" shapeId="0" xr:uid="{4B08B412-E557-429F-96FE-476E80D9541D}">
      <text>
        <r>
          <rPr>
            <b/>
            <sz val="9"/>
            <color indexed="81"/>
            <rFont val="Tahoma"/>
            <family val="2"/>
          </rPr>
          <t>Sheena Gossett:</t>
        </r>
        <r>
          <rPr>
            <sz val="9"/>
            <color indexed="81"/>
            <rFont val="Tahoma"/>
            <family val="2"/>
          </rPr>
          <t xml:space="preserve">
upped to $40k per JD from $35k</t>
        </r>
      </text>
    </comment>
    <comment ref="AA41" authorId="0" shapeId="0" xr:uid="{B1E27787-7C1F-4C63-A4AA-4122C5157B53}">
      <text>
        <r>
          <rPr>
            <b/>
            <sz val="9"/>
            <color indexed="81"/>
            <rFont val="Tahoma"/>
            <family val="2"/>
          </rPr>
          <t>Sheena Gossett:</t>
        </r>
        <r>
          <rPr>
            <sz val="9"/>
            <color indexed="81"/>
            <rFont val="Tahoma"/>
            <family val="2"/>
          </rPr>
          <t xml:space="preserve">
upped to 9k per JD from 7.5k</t>
        </r>
      </text>
    </comment>
    <comment ref="S43" authorId="0" shapeId="0" xr:uid="{CFF1672B-AC94-4D70-BBF9-F64C73B1FD79}">
      <text>
        <r>
          <rPr>
            <b/>
            <sz val="9"/>
            <color indexed="81"/>
            <rFont val="Tahoma"/>
            <family val="2"/>
          </rPr>
          <t>Sheena Gossett:</t>
        </r>
        <r>
          <rPr>
            <sz val="9"/>
            <color indexed="81"/>
            <rFont val="Tahoma"/>
            <family val="2"/>
          </rPr>
          <t xml:space="preserve">
This is for issues prior to 2018.  First Collect is not being used for anything since 2018</t>
        </r>
      </text>
    </comment>
    <comment ref="W43" authorId="0" shapeId="0" xr:uid="{94FC1168-FF75-47A0-A796-7244636472CD}">
      <text>
        <r>
          <rPr>
            <b/>
            <sz val="9"/>
            <color indexed="81"/>
            <rFont val="Tahoma"/>
            <family val="2"/>
          </rPr>
          <t>Sheena Gossett:</t>
        </r>
        <r>
          <rPr>
            <sz val="9"/>
            <color indexed="81"/>
            <rFont val="Tahoma"/>
            <family val="2"/>
          </rPr>
          <t xml:space="preserve">
This is for issues prior to 2018.  First Collect is not being used for anything since 2018</t>
        </r>
      </text>
    </comment>
    <comment ref="Y44" authorId="1" shapeId="0" xr:uid="{B4287BE0-E82E-4888-9D08-A837FC78EDF0}">
      <text>
        <r>
          <rPr>
            <b/>
            <sz val="9"/>
            <color indexed="81"/>
            <rFont val="Tahoma"/>
            <family val="2"/>
          </rPr>
          <t>Scott Koenig:</t>
        </r>
        <r>
          <rPr>
            <sz val="9"/>
            <color indexed="81"/>
            <rFont val="Tahoma"/>
            <family val="2"/>
          </rPr>
          <t xml:space="preserve">
Est. = $100 per month.</t>
        </r>
      </text>
    </comment>
    <comment ref="AA46" authorId="0" shapeId="0" xr:uid="{50E382DC-651A-467C-83E9-8399E54A3C23}">
      <text>
        <r>
          <rPr>
            <b/>
            <sz val="9"/>
            <color indexed="81"/>
            <rFont val="Tahoma"/>
            <family val="2"/>
          </rPr>
          <t>Sheena Gossett:</t>
        </r>
        <r>
          <rPr>
            <sz val="9"/>
            <color indexed="81"/>
            <rFont val="Tahoma"/>
            <family val="2"/>
          </rPr>
          <t xml:space="preserve">
Other Court income takes away from in person income payments - however FY2020 was below historic low and may continue the same into FY2021</t>
        </r>
      </text>
    </comment>
    <comment ref="AA49" authorId="0" shapeId="0" xr:uid="{916A3CEA-EAEE-4E1A-8E76-F79C1B02173C}">
      <text>
        <r>
          <rPr>
            <b/>
            <sz val="9"/>
            <color indexed="81"/>
            <rFont val="Tahoma"/>
            <family val="2"/>
          </rPr>
          <t>Sheena Gossett:</t>
        </r>
        <r>
          <rPr>
            <sz val="9"/>
            <color indexed="81"/>
            <rFont val="Tahoma"/>
            <family val="2"/>
          </rPr>
          <t xml:space="preserve">
Per JD</t>
        </r>
      </text>
    </comment>
    <comment ref="Y50" authorId="1" shapeId="0" xr:uid="{F391E077-5B70-4275-937D-1D8126EDFFF0}">
      <text>
        <r>
          <rPr>
            <b/>
            <sz val="9"/>
            <color indexed="81"/>
            <rFont val="Tahoma"/>
            <family val="2"/>
          </rPr>
          <t>Scott Koenig:</t>
        </r>
        <r>
          <rPr>
            <sz val="9"/>
            <color indexed="81"/>
            <rFont val="Tahoma"/>
            <family val="2"/>
          </rPr>
          <t xml:space="preserve">
Increased from $15,000 to $20,000 on 02/24/2020. $15,000 on 03/04/2020.  Use $18.5K as of 03/16/20 - SDK</t>
        </r>
      </text>
    </comment>
    <comment ref="Y51" authorId="1" shapeId="0" xr:uid="{132CA1C8-7FD4-4329-9661-C59842E540A4}">
      <text>
        <r>
          <rPr>
            <b/>
            <sz val="9"/>
            <color indexed="81"/>
            <rFont val="Tahoma"/>
            <family val="2"/>
          </rPr>
          <t>Scott Koenig:</t>
        </r>
        <r>
          <rPr>
            <sz val="9"/>
            <color indexed="81"/>
            <rFont val="Tahoma"/>
            <family val="2"/>
          </rPr>
          <t xml:space="preserve">
Concerns at 03/07/2020 meeting: $25,000.  Reduced to $10K per email from GP.</t>
        </r>
      </text>
    </comment>
    <comment ref="AA51" authorId="0" shapeId="0" xr:uid="{C4E20415-E020-4743-89AE-1422D1C8EF54}">
      <text>
        <r>
          <rPr>
            <b/>
            <sz val="9"/>
            <color indexed="81"/>
            <rFont val="Tahoma"/>
            <family val="2"/>
          </rPr>
          <t>Sheena Gossett:</t>
        </r>
        <r>
          <rPr>
            <sz val="9"/>
            <color indexed="81"/>
            <rFont val="Tahoma"/>
            <family val="2"/>
          </rPr>
          <t xml:space="preserve">
Based on FY2020 actual</t>
        </r>
      </text>
    </comment>
    <comment ref="AA53" authorId="0" shapeId="0" xr:uid="{B035BE56-DB1D-4A48-8118-45716AA4E940}">
      <text>
        <r>
          <rPr>
            <b/>
            <sz val="9"/>
            <color indexed="81"/>
            <rFont val="Tahoma"/>
            <charset val="1"/>
          </rPr>
          <t>Sheena Gossett:</t>
        </r>
        <r>
          <rPr>
            <sz val="9"/>
            <color indexed="81"/>
            <rFont val="Tahoma"/>
            <charset val="1"/>
          </rPr>
          <t xml:space="preserve">
Taken to 25k per workshop 01.21.21</t>
        </r>
      </text>
    </comment>
    <comment ref="Y57" authorId="1" shapeId="0" xr:uid="{B6F8CE43-E6C9-4CE1-A33B-D3C33E95757B}">
      <text>
        <r>
          <rPr>
            <b/>
            <sz val="9"/>
            <color indexed="81"/>
            <rFont val="Tahoma"/>
            <family val="2"/>
          </rPr>
          <t>Scott Koenig:</t>
        </r>
        <r>
          <rPr>
            <sz val="9"/>
            <color indexed="81"/>
            <rFont val="Tahoma"/>
            <family val="2"/>
          </rPr>
          <t xml:space="preserve">
Last 3 years average: $39,990.  Last 2 years average:  $41,379.  Use $40,000.</t>
        </r>
      </text>
    </comment>
    <comment ref="S58" authorId="0" shapeId="0" xr:uid="{F5680A41-737C-4F34-BB26-AFA2221C8CE6}">
      <text>
        <r>
          <rPr>
            <b/>
            <sz val="9"/>
            <color indexed="81"/>
            <rFont val="Tahoma"/>
            <family val="2"/>
          </rPr>
          <t>Sheena Gossett:</t>
        </r>
        <r>
          <rPr>
            <sz val="9"/>
            <color indexed="81"/>
            <rFont val="Tahoma"/>
            <family val="2"/>
          </rPr>
          <t xml:space="preserve">
This includes SCAT Meeting payments</t>
        </r>
      </text>
    </comment>
    <comment ref="W58" authorId="0" shapeId="0" xr:uid="{E62F5B80-0291-452C-8762-BFB34098820B}">
      <text>
        <r>
          <rPr>
            <b/>
            <sz val="9"/>
            <color indexed="81"/>
            <rFont val="Tahoma"/>
            <family val="2"/>
          </rPr>
          <t>Sheena Gossett:</t>
        </r>
        <r>
          <rPr>
            <sz val="9"/>
            <color indexed="81"/>
            <rFont val="Tahoma"/>
            <family val="2"/>
          </rPr>
          <t xml:space="preserve">
This includes SCAT Meeting payments</t>
        </r>
      </text>
    </comment>
    <comment ref="Y59" authorId="1" shapeId="0" xr:uid="{12DCD864-181F-44DC-A3A5-CE4780616587}">
      <text>
        <r>
          <rPr>
            <b/>
            <sz val="9"/>
            <color indexed="81"/>
            <rFont val="Tahoma"/>
            <family val="2"/>
          </rPr>
          <t>Scott Koenig:</t>
        </r>
        <r>
          <rPr>
            <sz val="9"/>
            <color indexed="81"/>
            <rFont val="Tahoma"/>
            <family val="2"/>
          </rPr>
          <t xml:space="preserve">
Verizon COW - Summer Lease Payment:  $13,000 (est.) - as of 2/18/2020 Verizon has indicated they will not be using the COW.  Reimbursement of Admin. Salary related to Beach Tax Administration:  $5,000.  Removed on 03/04/2020.
</t>
        </r>
      </text>
    </comment>
    <comment ref="AA79" authorId="0" shapeId="0" xr:uid="{D50906C9-2DC8-42FC-AC01-4C7033CEC155}">
      <text>
        <r>
          <rPr>
            <b/>
            <sz val="9"/>
            <color indexed="81"/>
            <rFont val="Tahoma"/>
            <family val="2"/>
          </rPr>
          <t>Sheena Gossett:</t>
        </r>
        <r>
          <rPr>
            <sz val="9"/>
            <color indexed="81"/>
            <rFont val="Tahoma"/>
            <family val="2"/>
          </rPr>
          <t xml:space="preserve">
This is now put directly to balance sheet decreasing receivable.  No longer recorded as revenue</t>
        </r>
      </text>
    </comment>
    <comment ref="Y90" authorId="1" shapeId="0" xr:uid="{5D50C016-CAD3-4016-815D-3D6F63756E23}">
      <text>
        <r>
          <rPr>
            <b/>
            <sz val="9"/>
            <color indexed="81"/>
            <rFont val="Tahoma"/>
            <family val="2"/>
          </rPr>
          <t>Scott Koenig:</t>
        </r>
        <r>
          <rPr>
            <sz val="9"/>
            <color indexed="81"/>
            <rFont val="Tahoma"/>
            <family val="2"/>
          </rPr>
          <t xml:space="preserve">
FY20 - $27,500 as of 12/31/2019.</t>
        </r>
      </text>
    </comment>
    <comment ref="AA90" authorId="0" shapeId="0" xr:uid="{50EF4E7E-5D43-44A4-812F-6634AD5CD9BE}">
      <text>
        <r>
          <rPr>
            <b/>
            <sz val="9"/>
            <color indexed="81"/>
            <rFont val="Tahoma"/>
            <family val="2"/>
          </rPr>
          <t>Sheena Gossett:</t>
        </r>
        <r>
          <rPr>
            <sz val="9"/>
            <color indexed="81"/>
            <rFont val="Tahoma"/>
            <family val="2"/>
          </rPr>
          <t xml:space="preserve">
FY2020 was down due to fewer people being in town, however if visitor levels go back up, credit card use fees will rise</t>
        </r>
      </text>
    </comment>
    <comment ref="AA91" authorId="0" shapeId="0" xr:uid="{9B8A161A-7844-4807-AD7B-E291FB6B7A1B}">
      <text>
        <r>
          <rPr>
            <b/>
            <sz val="9"/>
            <color indexed="81"/>
            <rFont val="Tahoma"/>
            <family val="2"/>
          </rPr>
          <t>Sheena Gossett:</t>
        </r>
        <r>
          <rPr>
            <sz val="9"/>
            <color indexed="81"/>
            <rFont val="Tahoma"/>
            <family val="2"/>
          </rPr>
          <t xml:space="preserve">
if increase in transfer tax continues, fees will go up.</t>
        </r>
      </text>
    </comment>
    <comment ref="AA92" authorId="0" shapeId="0" xr:uid="{B337977B-3CCA-4A20-8306-A507C4E3342B}">
      <text>
        <r>
          <rPr>
            <b/>
            <sz val="9"/>
            <color indexed="81"/>
            <rFont val="Tahoma"/>
            <family val="2"/>
          </rPr>
          <t>Sheena Gossett:</t>
        </r>
        <r>
          <rPr>
            <sz val="9"/>
            <color indexed="81"/>
            <rFont val="Tahoma"/>
            <family val="2"/>
          </rPr>
          <t xml:space="preserve">
35% of delinqent civil and parking tickets however agency not being used anymore
</t>
        </r>
      </text>
    </comment>
    <comment ref="S93" authorId="0" shapeId="0" xr:uid="{FC9A48C8-A15F-4BDA-9B62-3B3EDAF7A114}">
      <text>
        <r>
          <rPr>
            <b/>
            <sz val="9"/>
            <color indexed="81"/>
            <rFont val="Tahoma"/>
            <family val="2"/>
          </rPr>
          <t>Sheena Gossett:</t>
        </r>
        <r>
          <rPr>
            <sz val="9"/>
            <color indexed="81"/>
            <rFont val="Tahoma"/>
            <family val="2"/>
          </rPr>
          <t xml:space="preserve">
Prior years listed as negative revenue.  Switched to expense per Luff in January 2020</t>
        </r>
      </text>
    </comment>
    <comment ref="W93" authorId="0" shapeId="0" xr:uid="{774B7F6D-A215-418B-9C29-189AC9003043}">
      <text>
        <r>
          <rPr>
            <b/>
            <sz val="9"/>
            <color indexed="81"/>
            <rFont val="Tahoma"/>
            <family val="2"/>
          </rPr>
          <t>Sheena Gossett:</t>
        </r>
        <r>
          <rPr>
            <sz val="9"/>
            <color indexed="81"/>
            <rFont val="Tahoma"/>
            <family val="2"/>
          </rPr>
          <t xml:space="preserve">
Prior years listed as negative revenue.  Switched to expense per Luff in January 2020</t>
        </r>
      </text>
    </comment>
    <comment ref="S94" authorId="0" shapeId="0" xr:uid="{2805965D-1B21-4009-9D62-1567D7311F4E}">
      <text>
        <r>
          <rPr>
            <b/>
            <sz val="9"/>
            <color indexed="81"/>
            <rFont val="Tahoma"/>
            <family val="2"/>
          </rPr>
          <t>Sheena Gossett:</t>
        </r>
        <r>
          <rPr>
            <sz val="9"/>
            <color indexed="81"/>
            <rFont val="Tahoma"/>
            <family val="2"/>
          </rPr>
          <t xml:space="preserve">
SCAT Meeting expenses in here.</t>
        </r>
      </text>
    </comment>
    <comment ref="W94" authorId="0" shapeId="0" xr:uid="{507A2736-B97F-45CA-8388-658D78D023CF}">
      <text>
        <r>
          <rPr>
            <b/>
            <sz val="9"/>
            <color indexed="81"/>
            <rFont val="Tahoma"/>
            <family val="2"/>
          </rPr>
          <t>Sheena Gossett:</t>
        </r>
        <r>
          <rPr>
            <sz val="9"/>
            <color indexed="81"/>
            <rFont val="Tahoma"/>
            <family val="2"/>
          </rPr>
          <t xml:space="preserve">
SCAT Meeting expenses in here.</t>
        </r>
      </text>
    </comment>
    <comment ref="AA94" authorId="0" shapeId="0" xr:uid="{D16F8A4D-415E-4A1A-A62F-C2A429EAC1E5}">
      <text>
        <r>
          <rPr>
            <b/>
            <sz val="9"/>
            <color indexed="81"/>
            <rFont val="Tahoma"/>
            <family val="2"/>
          </rPr>
          <t>Sheena Gossett:</t>
        </r>
        <r>
          <rPr>
            <sz val="9"/>
            <color indexed="81"/>
            <rFont val="Tahoma"/>
            <family val="2"/>
          </rPr>
          <t xml:space="preserve">
per JD</t>
        </r>
      </text>
    </comment>
    <comment ref="S95" authorId="0" shapeId="0" xr:uid="{CF9AFD53-E2FA-4E9E-9A9D-C278DEF7C204}">
      <text>
        <r>
          <rPr>
            <b/>
            <sz val="9"/>
            <color indexed="81"/>
            <rFont val="Tahoma"/>
            <family val="2"/>
          </rPr>
          <t>Sheena Gossett:</t>
        </r>
        <r>
          <rPr>
            <sz val="9"/>
            <color indexed="81"/>
            <rFont val="Tahoma"/>
            <family val="2"/>
          </rPr>
          <t xml:space="preserve">
SCAT Meeting expenses in here.</t>
        </r>
      </text>
    </comment>
    <comment ref="AA95" authorId="0" shapeId="0" xr:uid="{573ED921-B33A-4631-9637-6F26EE278DD3}">
      <text>
        <r>
          <rPr>
            <b/>
            <sz val="9"/>
            <color indexed="81"/>
            <rFont val="Tahoma"/>
            <family val="2"/>
          </rPr>
          <t>Sheena Gossett:</t>
        </r>
        <r>
          <rPr>
            <sz val="9"/>
            <color indexed="81"/>
            <rFont val="Tahoma"/>
            <family val="2"/>
          </rPr>
          <t xml:space="preserve">
per JD</t>
        </r>
      </text>
    </comment>
    <comment ref="W96" authorId="0" shapeId="0" xr:uid="{1B1112D9-2274-4FF5-8D53-C4FFFD89AC4F}">
      <text>
        <r>
          <rPr>
            <b/>
            <sz val="9"/>
            <color indexed="81"/>
            <rFont val="Tahoma"/>
            <family val="2"/>
          </rPr>
          <t>Sheena Gossett:</t>
        </r>
        <r>
          <rPr>
            <sz val="9"/>
            <color indexed="81"/>
            <rFont val="Tahoma"/>
            <family val="2"/>
          </rPr>
          <t xml:space="preserve">
Town Hall donated more for the Christmas family adoptions than in past years</t>
        </r>
      </text>
    </comment>
    <comment ref="Y96" authorId="1" shapeId="0" xr:uid="{AA556EE8-7EDF-4483-A4AB-933E7AF4DCA5}">
      <text>
        <r>
          <rPr>
            <b/>
            <sz val="9"/>
            <color indexed="81"/>
            <rFont val="Tahoma"/>
            <family val="2"/>
          </rPr>
          <t>Scott Koenig:</t>
        </r>
        <r>
          <rPr>
            <sz val="9"/>
            <color indexed="81"/>
            <rFont val="Tahoma"/>
            <family val="2"/>
          </rPr>
          <t xml:space="preserve">
$5,000 Rehoboth Fire Company, $1,500 Center for Inland Bays Annual Dinner; $1,000 for Sponsorship of the Santa 5K</t>
        </r>
      </text>
    </comment>
    <comment ref="S97" authorId="0" shapeId="0" xr:uid="{8622D92C-E21A-4B84-8AB3-899AFD2E75A2}">
      <text>
        <r>
          <rPr>
            <b/>
            <sz val="9"/>
            <color indexed="81"/>
            <rFont val="Tahoma"/>
            <family val="2"/>
          </rPr>
          <t>Sheena Gossett:</t>
        </r>
        <r>
          <rPr>
            <sz val="9"/>
            <color indexed="81"/>
            <rFont val="Tahoma"/>
            <family val="2"/>
          </rPr>
          <t xml:space="preserve">
Town Hall donated more for the Christmas family adoptions than in past years</t>
        </r>
      </text>
    </comment>
    <comment ref="Y98" authorId="2" shapeId="0" xr:uid="{850BCA2D-5B59-46D5-B3F8-995ACEB02D1E}">
      <text>
        <r>
          <rPr>
            <b/>
            <sz val="9"/>
            <color indexed="81"/>
            <rFont val="Tahoma"/>
            <family val="2"/>
          </rPr>
          <t>skoenig:</t>
        </r>
        <r>
          <rPr>
            <sz val="9"/>
            <color indexed="81"/>
            <rFont val="Tahoma"/>
            <family val="2"/>
          </rPr>
          <t xml:space="preserve">
Target: $5,000 per month.  12/10/19 - $5,092 / month is the 21 month average.
03/07/2020 - $70K (DM); Use $5,250 per month - SDK on 03/16/2020.</t>
        </r>
      </text>
    </comment>
    <comment ref="Y99" authorId="1" shapeId="0" xr:uid="{340AA8E7-1917-4383-BA44-E001099BFCC2}">
      <text>
        <r>
          <rPr>
            <b/>
            <sz val="9"/>
            <color indexed="81"/>
            <rFont val="Tahoma"/>
            <family val="2"/>
          </rPr>
          <t>Scott Koenig:</t>
        </r>
        <r>
          <rPr>
            <sz val="9"/>
            <color indexed="81"/>
            <rFont val="Tahoma"/>
            <family val="2"/>
          </rPr>
          <t xml:space="preserve">
Target expense is $3,500 per month.  03/07/2020 - $75K (DM); Revise back to $42K on 03/16/2020 per SDK.</t>
        </r>
      </text>
    </comment>
    <comment ref="Y103" authorId="1" shapeId="0" xr:uid="{2CE3E08C-C9C5-4EED-8CDD-132FCEB135A8}">
      <text>
        <r>
          <rPr>
            <sz val="9"/>
            <color indexed="81"/>
            <rFont val="Tahoma"/>
            <family val="2"/>
          </rPr>
          <t xml:space="preserve">Scott Koenig:
Managed Services: $25,393; VIMEO - $2,988; Conference Line - $1,020; Stream Hoster - $1,860; T2 Systems - $13,450; EVO Studios - $1,800; PayPal Pay Flow - $500; Govolution - $100; Adobe - $360; Edmunds - Hardware - $662; Edmunds - Software Main - $6,643; Edmunds Cloud Hosting - $4,000 </t>
        </r>
      </text>
    </comment>
    <comment ref="AA103" authorId="0" shapeId="0" xr:uid="{E1316C8A-9223-4478-B4EB-FF08BA12C3F7}">
      <text>
        <r>
          <rPr>
            <b/>
            <sz val="9"/>
            <color indexed="81"/>
            <rFont val="Tahoma"/>
            <family val="2"/>
          </rPr>
          <t>Sheena Gossett:</t>
        </r>
        <r>
          <rPr>
            <sz val="9"/>
            <color indexed="81"/>
            <rFont val="Tahoma"/>
            <family val="2"/>
          </rPr>
          <t xml:space="preserve">
Scott Koenig:
Managed Services: $25,393; VIMEO - $2,988; Conference Line - $1,020; Stream Hoster - $1,860; T2 Systems - $13,450; EVO Studios - $1,800; PayPal Pay Flow - $500; Govolution - $100; Adobe - $360; Edmunds - Hardware - $662; Edmunds - Software Main - $6,643; Edmunds Cloud Hosting - $4,000 - New laptop ($1700) and scanner ($1100) for Building Inspector</t>
        </r>
      </text>
    </comment>
    <comment ref="S104" authorId="0" shapeId="0" xr:uid="{034167DB-5681-4C82-A77D-6A18756A4931}">
      <text>
        <r>
          <rPr>
            <b/>
            <sz val="9"/>
            <color indexed="81"/>
            <rFont val="Tahoma"/>
            <family val="2"/>
          </rPr>
          <t>Sheena Gossett:</t>
        </r>
        <r>
          <rPr>
            <sz val="9"/>
            <color indexed="81"/>
            <rFont val="Tahoma"/>
            <family val="2"/>
          </rPr>
          <t xml:space="preserve">
Partially offset by Police Grant
Needs to be capitalized</t>
        </r>
      </text>
    </comment>
    <comment ref="W104" authorId="0" shapeId="0" xr:uid="{2128C7EF-FF58-49EF-B3A5-2FBFA9B41697}">
      <text>
        <r>
          <rPr>
            <b/>
            <sz val="9"/>
            <color indexed="81"/>
            <rFont val="Tahoma"/>
            <family val="2"/>
          </rPr>
          <t>Sheena Gossett:</t>
        </r>
        <r>
          <rPr>
            <sz val="9"/>
            <color indexed="81"/>
            <rFont val="Tahoma"/>
            <family val="2"/>
          </rPr>
          <t xml:space="preserve">
Partially offset by Police Grant
Needs to be capitalized</t>
        </r>
      </text>
    </comment>
    <comment ref="S105" authorId="0" shapeId="0" xr:uid="{93EE649C-C85A-4200-9D05-E7DCF5F5CC5D}">
      <text>
        <r>
          <rPr>
            <b/>
            <sz val="9"/>
            <color indexed="81"/>
            <rFont val="Tahoma"/>
            <family val="2"/>
          </rPr>
          <t>Sheena Gossett:</t>
        </r>
        <r>
          <rPr>
            <sz val="9"/>
            <color indexed="81"/>
            <rFont val="Tahoma"/>
            <family val="2"/>
          </rPr>
          <t xml:space="preserve">
Have only been doing 2 of 3 listed in Resolution 190 due to 3rd bonus is supposed to be discretionary at TM will</t>
        </r>
      </text>
    </comment>
    <comment ref="W105" authorId="0" shapeId="0" xr:uid="{9A0FB2E3-600D-4FB0-AA0C-49FE3F3AAB73}">
      <text>
        <r>
          <rPr>
            <b/>
            <sz val="9"/>
            <color indexed="81"/>
            <rFont val="Tahoma"/>
            <family val="2"/>
          </rPr>
          <t>Sheena Gossett:</t>
        </r>
        <r>
          <rPr>
            <sz val="9"/>
            <color indexed="81"/>
            <rFont val="Tahoma"/>
            <family val="2"/>
          </rPr>
          <t xml:space="preserve">
Have only been doing 2 of 3 listed in Resolution 190 due to 3rd bonus is supposed to be discretionary at TM will</t>
        </r>
      </text>
    </comment>
    <comment ref="Y106" authorId="1" shapeId="0" xr:uid="{30C81ABC-09FA-47B0-A2BB-29D735E20928}">
      <text>
        <r>
          <rPr>
            <b/>
            <sz val="9"/>
            <color indexed="81"/>
            <rFont val="Tahoma"/>
            <family val="2"/>
          </rPr>
          <t>Scott Koenig:</t>
        </r>
        <r>
          <rPr>
            <sz val="9"/>
            <color indexed="81"/>
            <rFont val="Tahoma"/>
            <family val="2"/>
          </rPr>
          <t xml:space="preserve">
DE League of Local Govts: $800.00; RBDB Chamber: $235.00; ACT: $5,000 (Est.); SCAT: $250</t>
        </r>
      </text>
    </comment>
    <comment ref="S107" authorId="0" shapeId="0" xr:uid="{F2465342-00BF-4385-A1D5-AD273AAC42B8}">
      <text>
        <r>
          <rPr>
            <b/>
            <sz val="9"/>
            <color indexed="81"/>
            <rFont val="Tahoma"/>
            <family val="2"/>
          </rPr>
          <t>Sheena Gossett:</t>
        </r>
        <r>
          <rPr>
            <sz val="9"/>
            <color indexed="81"/>
            <rFont val="Tahoma"/>
            <family val="2"/>
          </rPr>
          <t xml:space="preserve">
Extra ads had to be placed due to Election issues</t>
        </r>
      </text>
    </comment>
    <comment ref="W107" authorId="0" shapeId="0" xr:uid="{23D9DB53-0D8C-436F-AA59-627B36185875}">
      <text>
        <r>
          <rPr>
            <b/>
            <sz val="9"/>
            <color indexed="81"/>
            <rFont val="Tahoma"/>
            <family val="2"/>
          </rPr>
          <t>Sheena Gossett:</t>
        </r>
        <r>
          <rPr>
            <sz val="9"/>
            <color indexed="81"/>
            <rFont val="Tahoma"/>
            <family val="2"/>
          </rPr>
          <t xml:space="preserve">
Extra ads had to be placed due to Election issues</t>
        </r>
      </text>
    </comment>
    <comment ref="S108" authorId="0" shapeId="0" xr:uid="{28FEB636-7A23-4DDF-A2CB-186DCC37A8B7}">
      <text>
        <r>
          <rPr>
            <b/>
            <sz val="9"/>
            <color indexed="81"/>
            <rFont val="Tahoma"/>
            <family val="2"/>
          </rPr>
          <t>Sheena Gossett:</t>
        </r>
        <r>
          <rPr>
            <sz val="9"/>
            <color indexed="81"/>
            <rFont val="Tahoma"/>
            <family val="2"/>
          </rPr>
          <t xml:space="preserve">
This is being offset directly to Receivable per Luff directions starting in January 2020</t>
        </r>
      </text>
    </comment>
    <comment ref="W108" authorId="0" shapeId="0" xr:uid="{BDC08DC3-E251-478F-AB86-E14D56737B75}">
      <text>
        <r>
          <rPr>
            <b/>
            <sz val="9"/>
            <color indexed="81"/>
            <rFont val="Tahoma"/>
            <family val="2"/>
          </rPr>
          <t>Sheena Gossett:</t>
        </r>
        <r>
          <rPr>
            <sz val="9"/>
            <color indexed="81"/>
            <rFont val="Tahoma"/>
            <family val="2"/>
          </rPr>
          <t xml:space="preserve">
This is being offset directly to Receivable per Luff directions starting in January 2020</t>
        </r>
      </text>
    </comment>
    <comment ref="S109" authorId="0" shapeId="0" xr:uid="{F4B13543-3261-4858-8C75-733AD6B159D4}">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09" authorId="0" shapeId="0" xr:uid="{CE4F23EF-D94D-4095-A5BB-8BEB73154E1E}">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AA109" authorId="0" shapeId="0" xr:uid="{83BAC5A7-3C80-4084-9CE0-386F8D59E5D2}">
      <text>
        <r>
          <rPr>
            <b/>
            <sz val="9"/>
            <color indexed="81"/>
            <rFont val="Tahoma"/>
            <family val="2"/>
          </rPr>
          <t>Sheena Gossett:</t>
        </r>
        <r>
          <rPr>
            <sz val="9"/>
            <color indexed="81"/>
            <rFont val="Tahoma"/>
            <family val="2"/>
          </rPr>
          <t xml:space="preserve">
Set aside amounts based on revenue amounts</t>
        </r>
      </text>
    </comment>
    <comment ref="S110" authorId="0" shapeId="0" xr:uid="{CA19C681-8166-4E3F-883C-43FBE36F8E84}">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0" authorId="0" shapeId="0" xr:uid="{328CEAF9-BBC9-4BFD-92DD-159511FB2D8F}">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S111" authorId="0" shapeId="0" xr:uid="{C46680BE-F88E-4CF1-A325-AB070B609A11}">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1" authorId="0" shapeId="0" xr:uid="{EB595ADF-5F53-4177-8628-A8A448C386C5}">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S112" authorId="0" shapeId="0" xr:uid="{BBB45F53-F399-4485-8AF0-B98401BD3421}">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2" authorId="0" shapeId="0" xr:uid="{F066C171-8ABA-4C01-9885-75438E7EAD97}">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7" authorId="0" shapeId="0" xr:uid="{35507590-3AB0-4EE2-888C-B52EA7164B16}">
      <text>
        <r>
          <rPr>
            <b/>
            <sz val="9"/>
            <color indexed="81"/>
            <rFont val="Tahoma"/>
            <family val="2"/>
          </rPr>
          <t>Sheena Gossett:</t>
        </r>
        <r>
          <rPr>
            <sz val="9"/>
            <color indexed="81"/>
            <rFont val="Tahoma"/>
            <family val="2"/>
          </rPr>
          <t xml:space="preserve">
2nd payment coming due in February</t>
        </r>
      </text>
    </comment>
    <comment ref="Y117" authorId="2" shapeId="0" xr:uid="{73094875-C214-47F9-91B5-ECE5FA6A9912}">
      <text>
        <r>
          <rPr>
            <b/>
            <sz val="9"/>
            <color indexed="81"/>
            <rFont val="Tahoma"/>
            <family val="2"/>
          </rPr>
          <t>skoenig:</t>
        </r>
        <r>
          <rPr>
            <sz val="9"/>
            <color indexed="81"/>
            <rFont val="Tahoma"/>
            <family val="2"/>
          </rPr>
          <t xml:space="preserve">
Historically paid from the Street &amp; Infrastructure Account.</t>
        </r>
      </text>
    </comment>
    <comment ref="S118" authorId="0" shapeId="0" xr:uid="{CA3F3AED-3568-42BF-9BFC-D3EE6E956EA2}">
      <text>
        <r>
          <rPr>
            <b/>
            <sz val="9"/>
            <color indexed="81"/>
            <rFont val="Tahoma"/>
            <family val="2"/>
          </rPr>
          <t>Sheena Gossett:</t>
        </r>
        <r>
          <rPr>
            <sz val="9"/>
            <color indexed="81"/>
            <rFont val="Tahoma"/>
            <family val="2"/>
          </rPr>
          <t xml:space="preserve">
This was not separated out until this year
</t>
        </r>
      </text>
    </comment>
    <comment ref="S119" authorId="0" shapeId="0" xr:uid="{9451235C-2B0E-4FFF-BFC5-E29082FEC600}">
      <text>
        <r>
          <rPr>
            <b/>
            <sz val="9"/>
            <color indexed="81"/>
            <rFont val="Tahoma"/>
            <family val="2"/>
          </rPr>
          <t>Sheena Gossett:</t>
        </r>
        <r>
          <rPr>
            <sz val="9"/>
            <color indexed="81"/>
            <rFont val="Tahoma"/>
            <family val="2"/>
          </rPr>
          <t xml:space="preserve">
Christmas decorations around town put to this account</t>
        </r>
      </text>
    </comment>
    <comment ref="W119" authorId="0" shapeId="0" xr:uid="{0768BC77-1B91-4E51-AB9B-77EEA45EC0D7}">
      <text>
        <r>
          <rPr>
            <b/>
            <sz val="9"/>
            <color indexed="81"/>
            <rFont val="Tahoma"/>
            <family val="2"/>
          </rPr>
          <t>Sheena Gossett:</t>
        </r>
        <r>
          <rPr>
            <sz val="9"/>
            <color indexed="81"/>
            <rFont val="Tahoma"/>
            <family val="2"/>
          </rPr>
          <t xml:space="preserve">
Christmas decorations around town put to this account</t>
        </r>
      </text>
    </comment>
    <comment ref="Y119" authorId="1" shapeId="0" xr:uid="{768CC7D8-B0D4-4F0C-A6E4-F0864938B12B}">
      <text>
        <r>
          <rPr>
            <b/>
            <sz val="9"/>
            <color indexed="81"/>
            <rFont val="Tahoma"/>
            <family val="2"/>
          </rPr>
          <t>Scott Koenig:</t>
        </r>
        <r>
          <rPr>
            <sz val="9"/>
            <color indexed="81"/>
            <rFont val="Tahoma"/>
            <family val="2"/>
          </rPr>
          <t xml:space="preserve">
$2,441.58 x 9 months plus $2,490.41 x 3 months = $29,445.45 plus $2,555 = $32,000.</t>
        </r>
      </text>
    </comment>
    <comment ref="AA119" authorId="0" shapeId="0" xr:uid="{E4C1C877-A437-4B58-BCDD-AAA48719286F}">
      <text>
        <r>
          <rPr>
            <b/>
            <sz val="9"/>
            <color indexed="81"/>
            <rFont val="Tahoma"/>
            <family val="2"/>
          </rPr>
          <t>Sheena Gossett:</t>
        </r>
        <r>
          <rPr>
            <sz val="9"/>
            <color indexed="81"/>
            <rFont val="Tahoma"/>
            <family val="2"/>
          </rPr>
          <t xml:space="preserve">
2441.88*12+2500
</t>
        </r>
      </text>
    </comment>
    <comment ref="Y120" authorId="1" shapeId="0" xr:uid="{85AF3859-554F-4930-94D5-27C88AC29961}">
      <text>
        <r>
          <rPr>
            <b/>
            <sz val="9"/>
            <color indexed="81"/>
            <rFont val="Tahoma"/>
            <family val="2"/>
          </rPr>
          <t>Scott Koenig:</t>
        </r>
        <r>
          <rPr>
            <sz val="9"/>
            <color indexed="81"/>
            <rFont val="Tahoma"/>
            <family val="2"/>
          </rPr>
          <t xml:space="preserve">
Waste Industries Annual Contract - $15,921.
Town Hall Roll Offs - Spring Clean Up Week - $5,079.  Iron Mountain (Shredding) - $1,000.  Dog Waste Bags - $5,000.  Misc. Tipping Fees &amp; Enclosure Repairs - $600.  Use </t>
        </r>
      </text>
    </comment>
    <comment ref="AA120" authorId="0" shapeId="0" xr:uid="{78D467DE-7E0B-489A-BCFC-07148C3A2FAC}">
      <text>
        <r>
          <rPr>
            <b/>
            <sz val="9"/>
            <color indexed="81"/>
            <rFont val="Tahoma"/>
            <family val="2"/>
          </rPr>
          <t>Sheena Gossett:</t>
        </r>
        <r>
          <rPr>
            <sz val="9"/>
            <color indexed="81"/>
            <rFont val="Tahoma"/>
            <family val="2"/>
          </rPr>
          <t xml:space="preserve">
Waste Industries Annual Contract - $15,921.
 Iron Mountain (Shredding) - $1,000.  Dog Waste Bags - $5,000.  Misc. Tipping Fees &amp; Enclosure Repairs - $600.  Use </t>
        </r>
      </text>
    </comment>
    <comment ref="W121" authorId="0" shapeId="0" xr:uid="{86A8E6D5-A138-45AA-B1BF-8BF55E5EE8B6}">
      <text>
        <r>
          <rPr>
            <b/>
            <sz val="9"/>
            <color indexed="81"/>
            <rFont val="Tahoma"/>
            <family val="2"/>
          </rPr>
          <t>Sheena Gossett:</t>
        </r>
        <r>
          <rPr>
            <sz val="9"/>
            <color indexed="81"/>
            <rFont val="Tahoma"/>
            <family val="2"/>
          </rPr>
          <t xml:space="preserve">
Credit from Delmarva power for FY2019 expired this year.
Charges offset from reimbursement from MSA grant
</t>
        </r>
      </text>
    </comment>
    <comment ref="AA124" authorId="0" shapeId="0" xr:uid="{62A4670C-E42E-4E29-B679-C3E5918309D2}">
      <text>
        <r>
          <rPr>
            <b/>
            <sz val="9"/>
            <color indexed="81"/>
            <rFont val="Tahoma"/>
            <family val="2"/>
          </rPr>
          <t>Sheena Gossett:</t>
        </r>
        <r>
          <rPr>
            <sz val="9"/>
            <color indexed="81"/>
            <rFont val="Tahoma"/>
            <family val="2"/>
          </rPr>
          <t xml:space="preserve">
These expenditures are accounted for in other line items (street &amp; traffic lights, signs, etc) then reimbursed out of the MSA account
</t>
        </r>
      </text>
    </comment>
    <comment ref="AA126" authorId="0" shapeId="0" xr:uid="{4AB4CBDB-FA2C-48CF-BAF6-078B42390E58}">
      <text>
        <r>
          <rPr>
            <b/>
            <sz val="9"/>
            <color indexed="81"/>
            <rFont val="Tahoma"/>
            <family val="2"/>
          </rPr>
          <t>Sheena Gossett:</t>
        </r>
        <r>
          <rPr>
            <sz val="9"/>
            <color indexed="81"/>
            <rFont val="Tahoma"/>
            <family val="2"/>
          </rPr>
          <t xml:space="preserve">
review scott's notes</t>
        </r>
      </text>
    </comment>
    <comment ref="Y132" authorId="1" shapeId="0" xr:uid="{9DFC9841-03E2-4FA8-AD07-A82A8CC513C9}">
      <text>
        <r>
          <rPr>
            <b/>
            <sz val="9"/>
            <color indexed="81"/>
            <rFont val="Tahoma"/>
            <family val="2"/>
          </rPr>
          <t>Scott Koenig:</t>
        </r>
        <r>
          <rPr>
            <sz val="9"/>
            <color indexed="81"/>
            <rFont val="Tahoma"/>
            <family val="2"/>
          </rPr>
          <t xml:space="preserve">
4.47% increase due to OT &amp; hours worked for meetings.</t>
        </r>
      </text>
    </comment>
    <comment ref="AA132" authorId="0" shapeId="0" xr:uid="{0FB9AB0A-D467-4B98-BC40-36096BA89671}">
      <text>
        <r>
          <rPr>
            <b/>
            <sz val="9"/>
            <color indexed="81"/>
            <rFont val="Tahoma"/>
            <family val="2"/>
          </rPr>
          <t>Sheena Gossett:</t>
        </r>
        <r>
          <rPr>
            <sz val="9"/>
            <color indexed="81"/>
            <rFont val="Tahoma"/>
            <family val="2"/>
          </rPr>
          <t xml:space="preserve">
4% raise </t>
        </r>
      </text>
    </comment>
    <comment ref="AA134" authorId="0" shapeId="0" xr:uid="{BBA4240F-F244-4167-A626-C68852F9F391}">
      <text>
        <r>
          <rPr>
            <b/>
            <sz val="9"/>
            <color indexed="81"/>
            <rFont val="Tahoma"/>
            <family val="2"/>
          </rPr>
          <t>Sheena Gossett:</t>
        </r>
        <r>
          <rPr>
            <sz val="9"/>
            <color indexed="81"/>
            <rFont val="Tahoma"/>
            <family val="2"/>
          </rPr>
          <t xml:space="preserve">
increased because budgeting for new TM to need full family benefits where SK only covered self on dental and didn't need medical.</t>
        </r>
      </text>
    </comment>
    <comment ref="Y137" authorId="1" shapeId="0" xr:uid="{81DC9B16-5E53-4984-8485-EAB9F5C6D4A1}">
      <text>
        <r>
          <rPr>
            <b/>
            <sz val="9"/>
            <color indexed="81"/>
            <rFont val="Tahoma"/>
            <family val="2"/>
          </rPr>
          <t>Scott Koenig:</t>
        </r>
        <r>
          <rPr>
            <sz val="9"/>
            <color indexed="81"/>
            <rFont val="Tahoma"/>
            <family val="2"/>
          </rPr>
          <t xml:space="preserve">
0.89% change:  includes raises and change to employee benefits.</t>
        </r>
      </text>
    </comment>
    <comment ref="Y139" authorId="2" shapeId="0" xr:uid="{B9550CCC-C7FE-4301-81EE-71952A730F3D}">
      <text>
        <r>
          <rPr>
            <b/>
            <sz val="9"/>
            <color indexed="81"/>
            <rFont val="Tahoma"/>
            <family val="2"/>
          </rPr>
          <t>skoenig: 8</t>
        </r>
        <r>
          <rPr>
            <sz val="9"/>
            <color indexed="81"/>
            <rFont val="Tahoma"/>
            <family val="2"/>
          </rPr>
          <t xml:space="preserve"> hoiurs per week  X 16 weeks X $12.00 per hour = $1,536.  Movies &amp; Bonfire:  8 weeks x 6 hours per week X $12.00 / hour = $576
use $2,100.  Add UD Summer Intern - $7,500.</t>
        </r>
      </text>
    </comment>
    <comment ref="AA139" authorId="0" shapeId="0" xr:uid="{40046F8D-8F0F-4417-988C-AA4FD6692B1A}">
      <text>
        <r>
          <rPr>
            <b/>
            <sz val="9"/>
            <color indexed="81"/>
            <rFont val="Tahoma"/>
            <family val="2"/>
          </rPr>
          <t>Sheena Gossett:</t>
        </r>
        <r>
          <rPr>
            <sz val="9"/>
            <color indexed="81"/>
            <rFont val="Tahoma"/>
            <family val="2"/>
          </rPr>
          <t xml:space="preserve">
The window duties for this position were covered by SG &amp; KB over summer 2020 and will done this next year also.  Bonfires &amp; Movie coverage done by volunteers
</t>
        </r>
      </text>
    </comment>
    <comment ref="AA144" authorId="0" shapeId="0" xr:uid="{0C9A7CD1-5CB5-493E-BD2C-C38465B35460}">
      <text>
        <r>
          <rPr>
            <b/>
            <sz val="9"/>
            <color indexed="81"/>
            <rFont val="Tahoma"/>
            <family val="2"/>
          </rPr>
          <t>Sheena Gossett:</t>
        </r>
        <r>
          <rPr>
            <sz val="9"/>
            <color indexed="81"/>
            <rFont val="Tahoma"/>
            <family val="2"/>
          </rPr>
          <t xml:space="preserve">
Comcast - 1,652.28
Delmarva Power - 3,505.65
Sussex Co - 1.825.32
Verizon - LD - 1.003.63
Verizon (3 accts) - 7,861.54</t>
        </r>
      </text>
    </comment>
    <comment ref="AA153" authorId="0" shapeId="0" xr:uid="{C545FBA8-ECE9-47AB-B7AF-E10055807516}">
      <text>
        <r>
          <rPr>
            <b/>
            <sz val="9"/>
            <color indexed="81"/>
            <rFont val="Tahoma"/>
            <family val="2"/>
          </rPr>
          <t>Sheena Gossett:</t>
        </r>
        <r>
          <rPr>
            <sz val="9"/>
            <color indexed="81"/>
            <rFont val="Tahoma"/>
            <family val="2"/>
          </rPr>
          <t xml:space="preserve">
mass mailings going out with postage included in printing package</t>
        </r>
      </text>
    </comment>
    <comment ref="S154" authorId="0" shapeId="0" xr:uid="{FF14905A-30DD-4428-9FE2-AFACDC83736A}">
      <text>
        <r>
          <rPr>
            <b/>
            <sz val="9"/>
            <color indexed="81"/>
            <rFont val="Tahoma"/>
            <family val="2"/>
          </rPr>
          <t>Sheena Gossett:</t>
        </r>
        <r>
          <rPr>
            <sz val="9"/>
            <color indexed="81"/>
            <rFont val="Tahoma"/>
            <family val="2"/>
          </rPr>
          <t xml:space="preserve">
Lyons 400 / month - 4800
Shore Scan 17 / month - 2088</t>
        </r>
      </text>
    </comment>
    <comment ref="W154" authorId="0" shapeId="0" xr:uid="{8D9F4813-E39B-4E89-82F4-64C1F6AEE679}">
      <text>
        <r>
          <rPr>
            <b/>
            <sz val="9"/>
            <color indexed="81"/>
            <rFont val="Tahoma"/>
            <family val="2"/>
          </rPr>
          <t>Sheena Gossett:</t>
        </r>
        <r>
          <rPr>
            <sz val="9"/>
            <color indexed="81"/>
            <rFont val="Tahoma"/>
            <family val="2"/>
          </rPr>
          <t xml:space="preserve">
Lyons 400 / month - 4800
Shore Scan 17 / month - 2088</t>
        </r>
      </text>
    </comment>
    <comment ref="Y154" authorId="1" shapeId="0" xr:uid="{07DF6E5B-DFE7-4922-9453-D148E78E02FF}">
      <text>
        <r>
          <rPr>
            <b/>
            <sz val="9"/>
            <color indexed="81"/>
            <rFont val="Tahoma"/>
            <family val="2"/>
          </rPr>
          <t>Scott Koenig:</t>
        </r>
        <r>
          <rPr>
            <sz val="9"/>
            <color indexed="81"/>
            <rFont val="Tahoma"/>
            <family val="2"/>
          </rPr>
          <t xml:space="preserve">
Payroll Processing - $5,000 Est.; Monthly accounting fees ($2,000); $28,350 for J. Dedes; HR Consultant - $700 X 12 = $8,400 ; ShoreScan $174 X 12 = $2,088.</t>
        </r>
      </text>
    </comment>
    <comment ref="AA154" authorId="0" shapeId="0" xr:uid="{50CE0092-5168-4F74-99F6-8A79154A7D37}">
      <text>
        <r>
          <rPr>
            <b/>
            <sz val="9"/>
            <color indexed="81"/>
            <rFont val="Tahoma"/>
            <family val="2"/>
          </rPr>
          <t>Sheena Gossett:</t>
        </r>
        <r>
          <rPr>
            <sz val="9"/>
            <color indexed="81"/>
            <rFont val="Tahoma"/>
            <family val="2"/>
          </rPr>
          <t xml:space="preserve">
Replaced Luff w/ Financial Director - same rate, Jim Dedes $29,768, EZPayroll - $3,116.94, Lyons - increase in amount ot $700 per month = 8,400, Sure Scan - $2,583 (174 / mo + 495 annual), EAP Services $975</t>
        </r>
      </text>
    </comment>
    <comment ref="Y155" authorId="1" shapeId="0" xr:uid="{2AE33658-9460-48BB-968D-C4287705C9E1}">
      <text>
        <r>
          <rPr>
            <b/>
            <sz val="9"/>
            <color indexed="81"/>
            <rFont val="Tahoma"/>
            <family val="2"/>
          </rPr>
          <t>Scott Koenig:</t>
        </r>
        <r>
          <rPr>
            <sz val="9"/>
            <color indexed="81"/>
            <rFont val="Tahoma"/>
            <family val="2"/>
          </rPr>
          <t xml:space="preserve">
Public Officials Liability Insurance: $57,000 (est.). 50% of Town Hall Flood Insurance: $1,857; General Liability: 36% of $42,000 = $15,120.  As of 02/28/2020.</t>
        </r>
      </text>
    </comment>
    <comment ref="AA157" authorId="0" shapeId="0" xr:uid="{0C0085A3-1124-4F95-932E-8ED015B3597A}">
      <text>
        <r>
          <rPr>
            <b/>
            <sz val="9"/>
            <color indexed="81"/>
            <rFont val="Tahoma"/>
            <family val="2"/>
          </rPr>
          <t>Sheena Gossett:</t>
        </r>
        <r>
          <rPr>
            <sz val="9"/>
            <color indexed="81"/>
            <rFont val="Tahoma"/>
            <family val="2"/>
          </rPr>
          <t xml:space="preserve">
More virtual training due to pandemic.</t>
        </r>
      </text>
    </comment>
    <comment ref="AA159" authorId="0" shapeId="0" xr:uid="{BDC90331-944B-4C7C-BEE5-24F917954BC4}">
      <text>
        <r>
          <rPr>
            <b/>
            <sz val="9"/>
            <color indexed="81"/>
            <rFont val="Tahoma"/>
            <family val="2"/>
          </rPr>
          <t>Sheena Gossett:</t>
        </r>
        <r>
          <rPr>
            <sz val="9"/>
            <color indexed="81"/>
            <rFont val="Tahoma"/>
            <family val="2"/>
          </rPr>
          <t xml:space="preserve">
doubled from FY21 due to printing more out of house</t>
        </r>
      </text>
    </comment>
    <comment ref="Y166" authorId="1" shapeId="0" xr:uid="{D8EF186D-01C9-4AE7-90BC-3100B7F4CCAB}">
      <text>
        <r>
          <rPr>
            <b/>
            <sz val="9"/>
            <color indexed="81"/>
            <rFont val="Tahoma"/>
            <family val="2"/>
          </rPr>
          <t>Scott Koenig:</t>
        </r>
        <r>
          <rPr>
            <sz val="9"/>
            <color indexed="81"/>
            <rFont val="Tahoma"/>
            <family val="2"/>
          </rPr>
          <t xml:space="preserve">
Estimated Payroll: $628,379 plus $10K for summer months = $638,500 (rounded).  Delete $10K - SDK - 03/16/2020.
</t>
        </r>
      </text>
    </comment>
    <comment ref="AA166" authorId="0" shapeId="0" xr:uid="{E241B437-8FC5-48C6-A958-64AEE1D9438E}">
      <text>
        <r>
          <rPr>
            <b/>
            <sz val="9"/>
            <color indexed="81"/>
            <rFont val="Tahoma"/>
            <family val="2"/>
          </rPr>
          <t>Sheena Gossett:</t>
        </r>
        <r>
          <rPr>
            <sz val="9"/>
            <color indexed="81"/>
            <rFont val="Tahoma"/>
            <family val="2"/>
          </rPr>
          <t xml:space="preserve">
4% increase</t>
        </r>
      </text>
    </comment>
    <comment ref="AA168" authorId="0" shapeId="0" xr:uid="{290F459A-4732-4B4F-9CC1-5A534196C939}">
      <text>
        <r>
          <rPr>
            <b/>
            <sz val="9"/>
            <color indexed="81"/>
            <rFont val="Tahoma"/>
            <family val="2"/>
          </rPr>
          <t>Sheena Gossett:</t>
        </r>
        <r>
          <rPr>
            <sz val="9"/>
            <color indexed="81"/>
            <rFont val="Tahoma"/>
            <family val="2"/>
          </rPr>
          <t xml:space="preserve">
includes taxes on special event payroll
</t>
        </r>
      </text>
    </comment>
    <comment ref="AA169" authorId="0" shapeId="0" xr:uid="{89FEEFD2-5E70-4A26-87A5-E2DF3DAEF74A}">
      <text>
        <r>
          <rPr>
            <b/>
            <sz val="9"/>
            <color indexed="81"/>
            <rFont val="Tahoma"/>
            <family val="2"/>
          </rPr>
          <t>Sheena Gossett:</t>
        </r>
        <r>
          <rPr>
            <sz val="9"/>
            <color indexed="81"/>
            <rFont val="Tahoma"/>
            <family val="2"/>
          </rPr>
          <t xml:space="preserve">
benefit total down b/c lost ee who had full fam cov replaced by ee w/only ee &amp; spouse</t>
        </r>
      </text>
    </comment>
    <comment ref="AA170" authorId="0" shapeId="0" xr:uid="{61087CC7-4637-4F9E-B2E3-20788B335DBF}">
      <text>
        <r>
          <rPr>
            <b/>
            <sz val="9"/>
            <color indexed="81"/>
            <rFont val="Tahoma"/>
            <charset val="1"/>
          </rPr>
          <t>Sheena Gossett:</t>
        </r>
        <r>
          <rPr>
            <sz val="9"/>
            <color indexed="81"/>
            <rFont val="Tahoma"/>
            <charset val="1"/>
          </rPr>
          <t xml:space="preserve">
16.84% from April - June
16.03% for July - March</t>
        </r>
      </text>
    </comment>
    <comment ref="Y171" authorId="1" shapeId="0" xr:uid="{8FEC15E4-D57D-4D6C-8479-DD5737BF00CE}">
      <text>
        <r>
          <rPr>
            <b/>
            <sz val="9"/>
            <color indexed="81"/>
            <rFont val="Tahoma"/>
            <family val="2"/>
          </rPr>
          <t>Scott Koenig:</t>
        </r>
        <r>
          <rPr>
            <sz val="9"/>
            <color indexed="81"/>
            <rFont val="Tahoma"/>
            <family val="2"/>
          </rPr>
          <t xml:space="preserve">
Reduced from $8,000 to $7,500 on 03/17/2020 to get to a balanced budget.  SDK</t>
        </r>
      </text>
    </comment>
    <comment ref="AA171" authorId="0" shapeId="0" xr:uid="{1879A8DC-55C6-4369-AF35-011E25E54EDC}">
      <text>
        <r>
          <rPr>
            <b/>
            <sz val="9"/>
            <color indexed="81"/>
            <rFont val="Tahoma"/>
            <family val="2"/>
          </rPr>
          <t>Sheena Gossett:</t>
        </r>
        <r>
          <rPr>
            <sz val="9"/>
            <color indexed="81"/>
            <rFont val="Tahoma"/>
            <family val="2"/>
          </rPr>
          <t xml:space="preserve">
New bullet proof vests are needed
</t>
        </r>
      </text>
    </comment>
    <comment ref="Y173" authorId="1" shapeId="0" xr:uid="{34FFD409-0AC5-4FD0-8450-5029757A7B06}">
      <text>
        <r>
          <rPr>
            <b/>
            <sz val="9"/>
            <color indexed="81"/>
            <rFont val="Tahoma"/>
            <family val="2"/>
          </rPr>
          <t>Scott Koenig:</t>
        </r>
        <r>
          <rPr>
            <sz val="9"/>
            <color indexed="81"/>
            <rFont val="Tahoma"/>
            <family val="2"/>
          </rPr>
          <t xml:space="preserve">
9.19% increase of prior year.</t>
        </r>
      </text>
    </comment>
    <comment ref="AA173" authorId="0" shapeId="0" xr:uid="{1D5E597E-23F0-4C6E-B6D7-4F8684503229}">
      <text>
        <r>
          <rPr>
            <b/>
            <sz val="9"/>
            <color indexed="81"/>
            <rFont val="Tahoma"/>
            <family val="2"/>
          </rPr>
          <t>Sheena Gossett:</t>
        </r>
        <r>
          <rPr>
            <sz val="9"/>
            <color indexed="81"/>
            <rFont val="Tahoma"/>
            <family val="2"/>
          </rPr>
          <t xml:space="preserve">
Difference between here &amp; ee obligation chart is Special Event payroll (with taxes) and uniforms
</t>
        </r>
      </text>
    </comment>
    <comment ref="AA175" authorId="0" shapeId="0" xr:uid="{0AB75E7C-B181-403C-B474-0E7E9C813544}">
      <text>
        <r>
          <rPr>
            <b/>
            <sz val="9"/>
            <color indexed="81"/>
            <rFont val="Tahoma"/>
            <family val="2"/>
          </rPr>
          <t>Sheena Gossett:</t>
        </r>
        <r>
          <rPr>
            <sz val="9"/>
            <color indexed="81"/>
            <rFont val="Tahoma"/>
            <family val="2"/>
          </rPr>
          <t xml:space="preserve">
4% increase</t>
        </r>
      </text>
    </comment>
    <comment ref="Y182" authorId="1" shapeId="0" xr:uid="{2F96EA29-7318-41E9-9389-0C3AD75478B2}">
      <text>
        <r>
          <rPr>
            <b/>
            <sz val="9"/>
            <color indexed="81"/>
            <rFont val="Tahoma"/>
            <family val="2"/>
          </rPr>
          <t>Scott Koenig:</t>
        </r>
        <r>
          <rPr>
            <sz val="9"/>
            <color indexed="81"/>
            <rFont val="Tahoma"/>
            <family val="2"/>
          </rPr>
          <t xml:space="preserve">
20 Officers - (10 @ $13.50, 10 @ $13.75) x 40 hours X 18 weeks = $196,200.  Dispatchers (2 x 40 x 18 weeks x $11.00 per hour = $15,840.  Total: $212,040.
</t>
        </r>
      </text>
    </comment>
    <comment ref="AA182" authorId="0" shapeId="0" xr:uid="{85D0CF85-22E7-405E-B8BF-1024EF311AA8}">
      <text>
        <r>
          <rPr>
            <b/>
            <sz val="9"/>
            <color indexed="81"/>
            <rFont val="Tahoma"/>
            <family val="2"/>
          </rPr>
          <t>Sheena Gossett:</t>
        </r>
        <r>
          <rPr>
            <sz val="9"/>
            <color indexed="81"/>
            <rFont val="Tahoma"/>
            <family val="2"/>
          </rPr>
          <t xml:space="preserve">
16 Officers per JD
see Seasonal PD calcuations</t>
        </r>
      </text>
    </comment>
    <comment ref="AA188" authorId="0" shapeId="0" xr:uid="{FD2EE648-C75A-4A48-9CDF-CEA615BA2BC4}">
      <text>
        <r>
          <rPr>
            <b/>
            <sz val="9"/>
            <color indexed="81"/>
            <rFont val="Tahoma"/>
            <family val="2"/>
          </rPr>
          <t>Sheena Gossett:</t>
        </r>
        <r>
          <rPr>
            <sz val="9"/>
            <color indexed="81"/>
            <rFont val="Tahoma"/>
            <family val="2"/>
          </rPr>
          <t xml:space="preserve">
Comcast - 1,652.28
Video Server - 2,144.64
Delmarva Power - 3,505.65
Sussex Co - 1.825.32
Verizon 6,811.03
Verizon Wireless(3 accts) - 6,779.50
</t>
        </r>
      </text>
    </comment>
    <comment ref="Y194" authorId="1" shapeId="0" xr:uid="{D962B3F9-5647-441E-954A-CAA9A87EFCA7}">
      <text>
        <r>
          <rPr>
            <b/>
            <sz val="9"/>
            <color indexed="81"/>
            <rFont val="Tahoma"/>
            <family val="2"/>
          </rPr>
          <t>Scott Koenig:</t>
        </r>
        <r>
          <rPr>
            <sz val="9"/>
            <color indexed="81"/>
            <rFont val="Tahoma"/>
            <family val="2"/>
          </rPr>
          <t xml:space="preserve">
Reduced from $27K to $26K on 03/16/2020.</t>
        </r>
      </text>
    </comment>
    <comment ref="AA194" authorId="0" shapeId="0" xr:uid="{FFFE266A-9323-4892-BB5C-93BB20AC4446}">
      <text>
        <r>
          <rPr>
            <b/>
            <sz val="9"/>
            <color indexed="81"/>
            <rFont val="Tahoma"/>
            <family val="2"/>
          </rPr>
          <t>Sheena Gossett:</t>
        </r>
        <r>
          <rPr>
            <sz val="9"/>
            <color indexed="81"/>
            <rFont val="Tahoma"/>
            <family val="2"/>
          </rPr>
          <t xml:space="preserve">
Monthly avg for FY21 is $2,021.98 but prices are going back up.</t>
        </r>
      </text>
    </comment>
    <comment ref="AA196" authorId="0" shapeId="0" xr:uid="{D4AB71A1-B986-4EF6-B893-D310A2A2F89D}">
      <text>
        <r>
          <rPr>
            <b/>
            <sz val="9"/>
            <color indexed="81"/>
            <rFont val="Tahoma"/>
            <family val="2"/>
          </rPr>
          <t>Sheena Gossett:</t>
        </r>
        <r>
          <rPr>
            <sz val="9"/>
            <color indexed="81"/>
            <rFont val="Tahoma"/>
            <family val="2"/>
          </rPr>
          <t xml:space="preserve">
vehicles are aging leading to more repairs</t>
        </r>
      </text>
    </comment>
    <comment ref="Y200" authorId="1" shapeId="0" xr:uid="{E7BD1979-9ABE-4AE4-A6A4-12573CBA829E}">
      <text>
        <r>
          <rPr>
            <b/>
            <sz val="9"/>
            <color indexed="81"/>
            <rFont val="Tahoma"/>
            <family val="2"/>
          </rPr>
          <t>Scott Koenig:</t>
        </r>
        <r>
          <rPr>
            <sz val="9"/>
            <color indexed="81"/>
            <rFont val="Tahoma"/>
            <family val="2"/>
          </rPr>
          <t xml:space="preserve">
Lexipol subscription - $7,000.  Strategic Plan - $2,500.  Misc. Support - $7,500
.</t>
        </r>
      </text>
    </comment>
    <comment ref="AA200" authorId="0" shapeId="0" xr:uid="{25B47466-EA2C-4559-81E4-B5971D33D40D}">
      <text>
        <r>
          <rPr>
            <b/>
            <sz val="9"/>
            <color indexed="81"/>
            <rFont val="Tahoma"/>
            <family val="2"/>
          </rPr>
          <t>Sheena Gossett:</t>
        </r>
        <r>
          <rPr>
            <sz val="9"/>
            <color indexed="81"/>
            <rFont val="Tahoma"/>
            <family val="2"/>
          </rPr>
          <t xml:space="preserve">
Lexipol subscription - $7,000.  Strategic Plan - $2,500.  Misc. Support - $7,500.  Additional funds for major policy review requested by Chief</t>
        </r>
      </text>
    </comment>
    <comment ref="Y202" authorId="1" shapeId="0" xr:uid="{7847E748-7DDB-429C-B76F-11DCE1D5B988}">
      <text>
        <r>
          <rPr>
            <b/>
            <sz val="9"/>
            <color indexed="81"/>
            <rFont val="Tahoma"/>
            <family val="2"/>
          </rPr>
          <t>Scott Koenig:</t>
        </r>
        <r>
          <rPr>
            <sz val="9"/>
            <color indexed="81"/>
            <rFont val="Tahoma"/>
            <family val="2"/>
          </rPr>
          <t xml:space="preserve">
Law Enforcement Liability Insurance: $50,000 (7/1/19); 50% of Flood Insurance: $1,857; 64% of General Liability &amp; Property ($42,000) = $26,880.  As of 02/28/2020</t>
        </r>
      </text>
    </comment>
    <comment ref="AA202" authorId="0" shapeId="0" xr:uid="{D37BD40B-6E74-4B36-90A9-1731C6BDC388}">
      <text>
        <r>
          <rPr>
            <b/>
            <sz val="9"/>
            <color indexed="81"/>
            <rFont val="Tahoma"/>
            <family val="2"/>
          </rPr>
          <t>Sheena Gossett:</t>
        </r>
        <r>
          <rPr>
            <sz val="9"/>
            <color indexed="81"/>
            <rFont val="Tahoma"/>
            <family val="2"/>
          </rPr>
          <t xml:space="preserve">
rates decreaseing
</t>
        </r>
      </text>
    </comment>
    <comment ref="AA203" authorId="0" shapeId="0" xr:uid="{6CDA3B4C-A3F9-4F2A-B723-E9A9D5A7FBD3}">
      <text>
        <r>
          <rPr>
            <b/>
            <sz val="9"/>
            <color indexed="81"/>
            <rFont val="Tahoma"/>
            <family val="2"/>
          </rPr>
          <t>Sheena Gossett:</t>
        </r>
        <r>
          <rPr>
            <sz val="9"/>
            <color indexed="81"/>
            <rFont val="Tahoma"/>
            <family val="2"/>
          </rPr>
          <t xml:space="preserve">
based on FY21 usage</t>
        </r>
      </text>
    </comment>
    <comment ref="Y204" authorId="1" shapeId="0" xr:uid="{120EC671-4243-4F0D-9613-2E0FCC6A8FB1}">
      <text>
        <r>
          <rPr>
            <b/>
            <sz val="9"/>
            <color indexed="81"/>
            <rFont val="Tahoma"/>
            <family val="2"/>
          </rPr>
          <t>Scott Koenig:</t>
        </r>
        <r>
          <rPr>
            <sz val="9"/>
            <color indexed="81"/>
            <rFont val="Tahoma"/>
            <family val="2"/>
          </rPr>
          <t xml:space="preserve">
$985 - for liability training for seasonal officers; $495 for sound meter training of seasonal officers; $1200 for general training at DE State Fire School
; $985 for Active Shoorter Training (4 hours - FT officers); De-Escalation Training - $1,200.   03/07/2020 - DM request $7-8K; use $7,500</t>
        </r>
      </text>
    </comment>
    <comment ref="AA204" authorId="0" shapeId="0" xr:uid="{E939C77D-390B-476E-8E44-8D4DC8E97128}">
      <text>
        <r>
          <rPr>
            <b/>
            <sz val="9"/>
            <color indexed="81"/>
            <rFont val="Tahoma"/>
            <family val="2"/>
          </rPr>
          <t>Sheena Gossett:</t>
        </r>
        <r>
          <rPr>
            <sz val="9"/>
            <color indexed="81"/>
            <rFont val="Tahoma"/>
            <family val="2"/>
          </rPr>
          <t xml:space="preserve">
Additional funds for training requested by Chief
</t>
        </r>
      </text>
    </comment>
    <comment ref="Y214" authorId="1" shapeId="0" xr:uid="{075B56C7-4C40-4168-9A57-8FBBC10B5E2C}">
      <text>
        <r>
          <rPr>
            <b/>
            <sz val="9"/>
            <color indexed="81"/>
            <rFont val="Tahoma"/>
            <family val="2"/>
          </rPr>
          <t>Scott Koenig:</t>
        </r>
        <r>
          <rPr>
            <sz val="9"/>
            <color indexed="81"/>
            <rFont val="Tahoma"/>
            <family val="2"/>
          </rPr>
          <t xml:space="preserve">
03/07/2020 - Commissioner Cooke requested 20 hours per week summer help = 20 hours x 18 weeks x $15.00 per hour = $5,400.  Remove $5,400 as not required.</t>
        </r>
      </text>
    </comment>
    <comment ref="AA214" authorId="0" shapeId="0" xr:uid="{7BCE762D-C013-4327-872A-6769DD944E7D}">
      <text>
        <r>
          <rPr>
            <b/>
            <sz val="9"/>
            <color indexed="81"/>
            <rFont val="Tahoma"/>
            <family val="2"/>
          </rPr>
          <t>Sheena Gossett:</t>
        </r>
        <r>
          <rPr>
            <sz val="9"/>
            <color indexed="81"/>
            <rFont val="Tahoma"/>
            <family val="2"/>
          </rPr>
          <t xml:space="preserve">
no part time assistance for mowing
part time help per JD
4% raise </t>
        </r>
      </text>
    </comment>
    <comment ref="AA222" authorId="0" shapeId="0" xr:uid="{746AF7E6-93E8-4647-AADD-B57D39029935}">
      <text>
        <r>
          <rPr>
            <b/>
            <sz val="9"/>
            <color indexed="81"/>
            <rFont val="Tahoma"/>
            <family val="2"/>
          </rPr>
          <t>Sheena Gossett:</t>
        </r>
        <r>
          <rPr>
            <sz val="9"/>
            <color indexed="81"/>
            <rFont val="Tahoma"/>
            <family val="2"/>
          </rPr>
          <t xml:space="preserve">
City of Rehoboth - Water - 354.24, Delmarva Power - 1,143.26, Sewer - 295, Verizon - 779.88, Wireless 9 556.65</t>
        </r>
      </text>
    </comment>
    <comment ref="Y230" authorId="1" shapeId="0" xr:uid="{F4B94E18-785C-4D40-A749-2DF7EF94F18C}">
      <text>
        <r>
          <rPr>
            <b/>
            <sz val="9"/>
            <color indexed="81"/>
            <rFont val="Tahoma"/>
            <family val="2"/>
          </rPr>
          <t>Scott Koenig:</t>
        </r>
        <r>
          <rPr>
            <sz val="9"/>
            <color indexed="81"/>
            <rFont val="Tahoma"/>
            <family val="2"/>
          </rPr>
          <t xml:space="preserve">
This was formerly a worker's comp charge line.  </t>
        </r>
      </text>
    </comment>
    <comment ref="Y239" authorId="1" shapeId="0" xr:uid="{2143C5B8-42F6-4900-8B3A-2B07F8E3C148}">
      <text>
        <r>
          <rPr>
            <b/>
            <sz val="9"/>
            <color indexed="81"/>
            <rFont val="Tahoma"/>
            <family val="2"/>
          </rPr>
          <t>Scott Koenig:</t>
        </r>
        <r>
          <rPr>
            <sz val="9"/>
            <color indexed="81"/>
            <rFont val="Tahoma"/>
            <family val="2"/>
          </rPr>
          <t xml:space="preserve">
Est. Wages:  $74,519 plus additional straight pay ($1,470) = $75,989; Use 10% addiitional overtime ($7,599) = $83,588.</t>
        </r>
      </text>
    </comment>
    <comment ref="AA239" authorId="0" shapeId="0" xr:uid="{276598F4-4323-4E3A-9F78-7264D53CDC89}">
      <text>
        <r>
          <rPr>
            <b/>
            <sz val="9"/>
            <color indexed="81"/>
            <rFont val="Tahoma"/>
            <family val="2"/>
          </rPr>
          <t>Sheena Gossett:</t>
        </r>
        <r>
          <rPr>
            <sz val="9"/>
            <color indexed="81"/>
            <rFont val="Tahoma"/>
            <family val="2"/>
          </rPr>
          <t xml:space="preserve">
4% raise however fewer extra hours worked as having more seasonal employees they can help.
</t>
        </r>
      </text>
    </comment>
    <comment ref="G246" authorId="2" shapeId="0" xr:uid="{875D56D1-18AE-4258-A4BA-1E4E99C0D6D0}">
      <text>
        <r>
          <rPr>
            <b/>
            <sz val="9"/>
            <color indexed="81"/>
            <rFont val="Tahoma"/>
            <family val="2"/>
          </rPr>
          <t>skoenig:</t>
        </r>
        <r>
          <rPr>
            <sz val="9"/>
            <color indexed="81"/>
            <rFont val="Tahoma"/>
            <family val="2"/>
          </rPr>
          <t xml:space="preserve">
5,600 manhours from 04/01/18-10/15/18
</t>
        </r>
      </text>
    </comment>
    <comment ref="Y247" authorId="1" shapeId="0" xr:uid="{D21855AD-EF7E-4220-B563-B891836FAC06}">
      <text>
        <r>
          <rPr>
            <b/>
            <sz val="9"/>
            <color indexed="81"/>
            <rFont val="Tahoma"/>
            <family val="2"/>
          </rPr>
          <t>Scott Koenig:</t>
        </r>
        <r>
          <rPr>
            <sz val="9"/>
            <color indexed="81"/>
            <rFont val="Tahoma"/>
            <family val="2"/>
          </rPr>
          <t xml:space="preserve">
Est. 6,000 hours @ $13.75 per hour = $82,500.  FY-20 rates were $12.50 - $13.50 per hour.</t>
        </r>
      </text>
    </comment>
    <comment ref="AA247" authorId="0" shapeId="0" xr:uid="{490BD0C2-FD9B-4F1E-A98B-D929B59A7C4F}">
      <text>
        <r>
          <rPr>
            <b/>
            <sz val="9"/>
            <color indexed="81"/>
            <rFont val="Tahoma"/>
            <family val="2"/>
          </rPr>
          <t>Sheena Gossett:</t>
        </r>
        <r>
          <rPr>
            <sz val="9"/>
            <color indexed="81"/>
            <rFont val="Tahoma"/>
            <family val="2"/>
          </rPr>
          <t xml:space="preserve">
Reduced hours and rate per workshop 01.21.21
Est. 8,000 hours @ $13.75 per hour = $82,500.  $15/hr per BS</t>
        </r>
      </text>
    </comment>
    <comment ref="AA253" authorId="0" shapeId="0" xr:uid="{96503B44-0F9C-443F-A77E-E027F6677D97}">
      <text>
        <r>
          <rPr>
            <b/>
            <sz val="9"/>
            <color indexed="81"/>
            <rFont val="Tahoma"/>
            <family val="2"/>
          </rPr>
          <t>Sheena Gossett:</t>
        </r>
        <r>
          <rPr>
            <sz val="9"/>
            <color indexed="81"/>
            <rFont val="Tahoma"/>
            <family val="2"/>
          </rPr>
          <t xml:space="preserve">
Comcast - 3,302.64
Delmarva Power - 4,117.92
Sussex County Water - 1,039.56
Verizon Wireless + Merle compensation - 4,049.40</t>
        </r>
      </text>
    </comment>
    <comment ref="S254" authorId="0" shapeId="0" xr:uid="{B1E49F8B-42C3-44D0-BDC2-5EFE3ABE5693}">
      <text>
        <r>
          <rPr>
            <b/>
            <sz val="9"/>
            <color indexed="81"/>
            <rFont val="Tahoma"/>
            <family val="2"/>
          </rPr>
          <t>Sheena Gossett:</t>
        </r>
        <r>
          <rPr>
            <sz val="9"/>
            <color indexed="81"/>
            <rFont val="Tahoma"/>
            <family val="2"/>
          </rPr>
          <t xml:space="preserve">
Dept cleans offices themselves - does not like cleaning company</t>
        </r>
      </text>
    </comment>
    <comment ref="W254" authorId="0" shapeId="0" xr:uid="{5B62FB07-C001-47D2-86B8-5E49C84DC0F8}">
      <text>
        <r>
          <rPr>
            <b/>
            <sz val="9"/>
            <color indexed="81"/>
            <rFont val="Tahoma"/>
            <family val="2"/>
          </rPr>
          <t>Sheena Gossett:</t>
        </r>
        <r>
          <rPr>
            <sz val="9"/>
            <color indexed="81"/>
            <rFont val="Tahoma"/>
            <family val="2"/>
          </rPr>
          <t xml:space="preserve">
Dept cleans offices themselves - does not like cleaning company</t>
        </r>
      </text>
    </comment>
    <comment ref="Y254" authorId="1" shapeId="0" xr:uid="{479CFAC7-E4E0-4C40-B212-D6ED32DBDA0E}">
      <text>
        <r>
          <rPr>
            <b/>
            <sz val="9"/>
            <color indexed="81"/>
            <rFont val="Tahoma"/>
            <family val="2"/>
          </rPr>
          <t>Scott Koenig:</t>
        </r>
        <r>
          <rPr>
            <sz val="9"/>
            <color indexed="81"/>
            <rFont val="Tahoma"/>
            <family val="2"/>
          </rPr>
          <t xml:space="preserve">
Dept cleans offices themselves.  Does not want to use cleaning company</t>
        </r>
      </text>
    </comment>
    <comment ref="S264" authorId="0" shapeId="0" xr:uid="{8FC6EB6D-D55E-4C74-A571-49529337661D}">
      <text>
        <r>
          <rPr>
            <b/>
            <sz val="9"/>
            <color indexed="81"/>
            <rFont val="Tahoma"/>
            <family val="2"/>
          </rPr>
          <t>Sheena Gossett:</t>
        </r>
        <r>
          <rPr>
            <sz val="9"/>
            <color indexed="81"/>
            <rFont val="Tahoma"/>
            <family val="2"/>
          </rPr>
          <t xml:space="preserve">
Department is purchasing stamps even though being allocated from TH postage charges</t>
        </r>
      </text>
    </comment>
    <comment ref="W264" authorId="0" shapeId="0" xr:uid="{0C08076B-214B-4872-9DF6-E38A8050ADB0}">
      <text>
        <r>
          <rPr>
            <b/>
            <sz val="9"/>
            <color indexed="81"/>
            <rFont val="Tahoma"/>
            <family val="2"/>
          </rPr>
          <t>Sheena Gossett:</t>
        </r>
        <r>
          <rPr>
            <sz val="9"/>
            <color indexed="81"/>
            <rFont val="Tahoma"/>
            <family val="2"/>
          </rPr>
          <t xml:space="preserve">
Department is purchasing stamps even though being allocated from TH postage charges</t>
        </r>
      </text>
    </comment>
    <comment ref="S265" authorId="0" shapeId="0" xr:uid="{866D2C49-CAC7-4A02-A4F7-BA52E8E37460}">
      <text>
        <r>
          <rPr>
            <b/>
            <sz val="9"/>
            <color indexed="81"/>
            <rFont val="Tahoma"/>
            <family val="2"/>
          </rPr>
          <t>Sheena Gossett:</t>
        </r>
        <r>
          <rPr>
            <sz val="9"/>
            <color indexed="81"/>
            <rFont val="Tahoma"/>
            <family val="2"/>
          </rPr>
          <t xml:space="preserve">
Been Verified - Just added in January - hit credit card if February</t>
        </r>
      </text>
    </comment>
    <comment ref="W265" authorId="0" shapeId="0" xr:uid="{E8A6618C-6CDD-4B45-A30D-B6F15D52643A}">
      <text>
        <r>
          <rPr>
            <b/>
            <sz val="9"/>
            <color indexed="81"/>
            <rFont val="Tahoma"/>
            <family val="2"/>
          </rPr>
          <t>Sheena Gossett:</t>
        </r>
        <r>
          <rPr>
            <sz val="9"/>
            <color indexed="81"/>
            <rFont val="Tahoma"/>
            <family val="2"/>
          </rPr>
          <t xml:space="preserve">
Been Verified - Just added in January - hit credit card if February</t>
        </r>
      </text>
    </comment>
    <comment ref="S268" authorId="0" shapeId="0" xr:uid="{8A49777A-79D5-4BC7-B5A5-7E139814A6E4}">
      <text>
        <r>
          <rPr>
            <b/>
            <sz val="9"/>
            <color indexed="81"/>
            <rFont val="Tahoma"/>
            <family val="2"/>
          </rPr>
          <t>Sheena Gossett:</t>
        </r>
        <r>
          <rPr>
            <sz val="9"/>
            <color indexed="81"/>
            <rFont val="Tahoma"/>
            <family val="2"/>
          </rPr>
          <t xml:space="preserve">
Supervisor weeklong trip to conference included in this total</t>
        </r>
      </text>
    </comment>
    <comment ref="W268" authorId="0" shapeId="0" xr:uid="{57382851-69F5-41F1-8358-F51929616B41}">
      <text>
        <r>
          <rPr>
            <b/>
            <sz val="9"/>
            <color indexed="81"/>
            <rFont val="Tahoma"/>
            <family val="2"/>
          </rPr>
          <t>Sheena Gossett:</t>
        </r>
        <r>
          <rPr>
            <sz val="9"/>
            <color indexed="81"/>
            <rFont val="Tahoma"/>
            <family val="2"/>
          </rPr>
          <t xml:space="preserve">
Supervisor weeklong trip to conference included in this total</t>
        </r>
      </text>
    </comment>
    <comment ref="Y268" authorId="0" shapeId="0" xr:uid="{73901510-2247-4CD8-A909-5A1B6CB636AE}">
      <text>
        <r>
          <rPr>
            <b/>
            <sz val="9"/>
            <color indexed="81"/>
            <rFont val="Tahoma"/>
            <family val="2"/>
          </rPr>
          <t>Sheena Gossett:</t>
        </r>
        <r>
          <rPr>
            <sz val="9"/>
            <color indexed="81"/>
            <rFont val="Tahoma"/>
            <family val="2"/>
          </rPr>
          <t xml:space="preserve">
</t>
        </r>
      </text>
    </comment>
    <comment ref="AA268" authorId="0" shapeId="0" xr:uid="{EC89A46B-C601-497E-9C24-A7C2B71D16E9}">
      <text>
        <r>
          <rPr>
            <b/>
            <sz val="9"/>
            <color indexed="81"/>
            <rFont val="Tahoma"/>
            <family val="2"/>
          </rPr>
          <t>Sheena Gossett:</t>
        </r>
        <r>
          <rPr>
            <sz val="9"/>
            <color indexed="81"/>
            <rFont val="Tahoma"/>
            <family val="2"/>
          </rPr>
          <t xml:space="preserve">
In person training frozen for year
</t>
        </r>
      </text>
    </comment>
    <comment ref="AA277" authorId="0" shapeId="0" xr:uid="{4B88F991-1197-4574-B020-AA871F66CA3B}">
      <text>
        <r>
          <rPr>
            <b/>
            <sz val="9"/>
            <color indexed="81"/>
            <rFont val="Tahoma"/>
            <family val="2"/>
          </rPr>
          <t>Sheena Gossett:</t>
        </r>
        <r>
          <rPr>
            <sz val="9"/>
            <color indexed="81"/>
            <rFont val="Tahoma"/>
            <family val="2"/>
          </rPr>
          <t xml:space="preserve">
removed extra person but kept 15k for assistance per workshop 01.21.21
added an additional part time employee.  This person would be out in the field keeping an eye on things to make sure there is no construction being done without permit.  Been difficult to do that to extent needed and approve permits to code.
4% raise </t>
        </r>
      </text>
    </comment>
    <comment ref="Y298" authorId="1" shapeId="0" xr:uid="{5D81A2F7-09C5-4C1E-82EE-26BE58D881AC}">
      <text>
        <r>
          <rPr>
            <b/>
            <sz val="9"/>
            <color indexed="81"/>
            <rFont val="Tahoma"/>
            <family val="2"/>
          </rPr>
          <t>Scott Koenig:</t>
        </r>
        <r>
          <rPr>
            <sz val="9"/>
            <color indexed="81"/>
            <rFont val="Tahoma"/>
            <family val="2"/>
          </rPr>
          <t xml:space="preserve">
$70,500 less Sunday Court ($3,575) = $66,925.  No Increase for the Judges.  03/07/2020 - Use $71,925 Less Sunday Court ($3,575) = $68,350</t>
        </r>
      </text>
    </comment>
    <comment ref="AA298" authorId="0" shapeId="0" xr:uid="{DD77171E-825C-44D9-8DA3-45446A1533C1}">
      <text>
        <r>
          <rPr>
            <b/>
            <sz val="9"/>
            <color indexed="81"/>
            <rFont val="Tahoma"/>
            <family val="2"/>
          </rPr>
          <t>Sheena Gossett:</t>
        </r>
        <r>
          <rPr>
            <sz val="9"/>
            <color indexed="81"/>
            <rFont val="Tahoma"/>
            <family val="2"/>
          </rPr>
          <t xml:space="preserve">
FY21 Budget didn't include bailiff pay in estimate
no raise for judges
new clerk at $16.50/hr</t>
        </r>
      </text>
    </comment>
    <comment ref="S299" authorId="0" shapeId="0" xr:uid="{71B5AEA3-8C23-43B3-8285-DC21D5C970DA}">
      <text>
        <r>
          <rPr>
            <b/>
            <sz val="9"/>
            <color indexed="81"/>
            <rFont val="Tahoma"/>
            <family val="2"/>
          </rPr>
          <t>Sheena Gossett:</t>
        </r>
        <r>
          <rPr>
            <sz val="9"/>
            <color indexed="81"/>
            <rFont val="Tahoma"/>
            <family val="2"/>
          </rPr>
          <t xml:space="preserve">
This account is not being used</t>
        </r>
      </text>
    </comment>
    <comment ref="W299" authorId="0" shapeId="0" xr:uid="{7EDA3C52-DBFD-44DB-B460-B01FAC5DD245}">
      <text>
        <r>
          <rPr>
            <b/>
            <sz val="9"/>
            <color indexed="81"/>
            <rFont val="Tahoma"/>
            <family val="2"/>
          </rPr>
          <t>Sheena Gossett:</t>
        </r>
        <r>
          <rPr>
            <sz val="9"/>
            <color indexed="81"/>
            <rFont val="Tahoma"/>
            <family val="2"/>
          </rPr>
          <t xml:space="preserve">
This account is not being used</t>
        </r>
      </text>
    </comment>
    <comment ref="AA301" authorId="0" shapeId="0" xr:uid="{942E167A-2570-4186-81D8-2AEC5A992282}">
      <text>
        <r>
          <rPr>
            <b/>
            <sz val="9"/>
            <color indexed="81"/>
            <rFont val="Tahoma"/>
            <family val="2"/>
          </rPr>
          <t>Sheena Gossett:</t>
        </r>
        <r>
          <rPr>
            <sz val="9"/>
            <color indexed="81"/>
            <rFont val="Tahoma"/>
            <family val="2"/>
          </rPr>
          <t xml:space="preserve">
Includes new robe for Assistant Alderman</t>
        </r>
      </text>
    </comment>
    <comment ref="Y305" authorId="2" shapeId="0" xr:uid="{2E63AC3F-ECB3-42FC-918E-E7EEEE3EC6AE}">
      <text>
        <r>
          <rPr>
            <b/>
            <sz val="9"/>
            <color indexed="81"/>
            <rFont val="Tahoma"/>
            <family val="2"/>
          </rPr>
          <t>skoenig:</t>
        </r>
        <r>
          <rPr>
            <sz val="9"/>
            <color indexed="81"/>
            <rFont val="Tahoma"/>
            <family val="2"/>
          </rPr>
          <t xml:space="preserve">
Est. = $100.00 per month for 12 months.</t>
        </r>
      </text>
    </comment>
    <comment ref="AA305" authorId="0" shapeId="0" xr:uid="{0DA2306B-7C7F-4089-B314-D01CC7A42EF5}">
      <text>
        <r>
          <rPr>
            <b/>
            <sz val="9"/>
            <color indexed="81"/>
            <rFont val="Tahoma"/>
            <family val="2"/>
          </rPr>
          <t>Sheena Gossett:</t>
        </r>
        <r>
          <rPr>
            <sz val="9"/>
            <color indexed="81"/>
            <rFont val="Tahoma"/>
            <family val="2"/>
          </rPr>
          <t xml:space="preserve">
postage reduced due to changes in allocation</t>
        </r>
      </text>
    </comment>
    <comment ref="S307" authorId="0" shapeId="0" xr:uid="{4E3BABBE-43D3-4E54-A459-EC3FE491F5F9}">
      <text>
        <r>
          <rPr>
            <b/>
            <sz val="9"/>
            <color indexed="81"/>
            <rFont val="Tahoma"/>
            <family val="2"/>
          </rPr>
          <t>Sheena Gossett:</t>
        </r>
        <r>
          <rPr>
            <sz val="9"/>
            <color indexed="81"/>
            <rFont val="Tahoma"/>
            <family val="2"/>
          </rPr>
          <t xml:space="preserve">
No insurance charged to this department outside of WC</t>
        </r>
      </text>
    </comment>
    <comment ref="W307" authorId="0" shapeId="0" xr:uid="{CFAD17AE-487B-41A7-9D8B-F195576D345B}">
      <text>
        <r>
          <rPr>
            <b/>
            <sz val="9"/>
            <color indexed="81"/>
            <rFont val="Tahoma"/>
            <family val="2"/>
          </rPr>
          <t>Sheena Gossett:</t>
        </r>
        <r>
          <rPr>
            <sz val="9"/>
            <color indexed="81"/>
            <rFont val="Tahoma"/>
            <family val="2"/>
          </rPr>
          <t xml:space="preserve">
No insurance charged to this department outside of WC</t>
        </r>
      </text>
    </comment>
    <comment ref="AA309" authorId="0" shapeId="0" xr:uid="{4A9AE0EB-37AF-4972-8242-833893D685C6}">
      <text>
        <r>
          <rPr>
            <b/>
            <sz val="9"/>
            <color indexed="81"/>
            <rFont val="Tahoma"/>
            <family val="2"/>
          </rPr>
          <t>Sheena Gossett:</t>
        </r>
        <r>
          <rPr>
            <sz val="9"/>
            <color indexed="81"/>
            <rFont val="Tahoma"/>
            <family val="2"/>
          </rPr>
          <t xml:space="preserve">
New work table and new flag stands were requested ($200 &amp; $130 respectively)
</t>
        </r>
      </text>
    </comment>
    <comment ref="AA310" authorId="0" shapeId="0" xr:uid="{BD4ADF9B-39C5-40F1-89D3-ECA23F7ED1E9}">
      <text>
        <r>
          <rPr>
            <b/>
            <sz val="9"/>
            <color indexed="81"/>
            <rFont val="Tahoma"/>
            <family val="2"/>
          </rPr>
          <t>Sheena Gossett:</t>
        </r>
        <r>
          <rPr>
            <sz val="9"/>
            <color indexed="81"/>
            <rFont val="Tahoma"/>
            <family val="2"/>
          </rPr>
          <t xml:space="preserve">
Would include alterations to clerk office</t>
        </r>
      </text>
    </comment>
    <comment ref="Y316" authorId="1" shapeId="0" xr:uid="{3C048859-6F13-4D3E-9CDC-CA9968FCF8BA}">
      <text>
        <r>
          <rPr>
            <b/>
            <sz val="9"/>
            <color indexed="81"/>
            <rFont val="Tahoma"/>
            <family val="2"/>
          </rPr>
          <t>Scott Koenig:</t>
        </r>
        <r>
          <rPr>
            <sz val="9"/>
            <color indexed="81"/>
            <rFont val="Tahoma"/>
            <family val="2"/>
          </rPr>
          <t xml:space="preserve">
4.62% increase includes Todd's wage recommendation and bay beach lifeguard hours.</t>
        </r>
      </text>
    </comment>
    <comment ref="AA316" authorId="0" shapeId="0" xr:uid="{7F0A9562-5655-4F6F-9BB7-624CA6EA20E2}">
      <text>
        <r>
          <rPr>
            <b/>
            <sz val="9"/>
            <color indexed="81"/>
            <rFont val="Tahoma"/>
            <family val="2"/>
          </rPr>
          <t>Sheena Gossett:</t>
        </r>
        <r>
          <rPr>
            <sz val="9"/>
            <color indexed="81"/>
            <rFont val="Tahoma"/>
            <family val="2"/>
          </rPr>
          <t xml:space="preserve">
21,404.50 regular hours
425.25 OT hours
$14.50 average rate
Todd - 17,200</t>
        </r>
      </text>
    </comment>
    <comment ref="AA319" authorId="0" shapeId="0" xr:uid="{60759DA8-11ED-4747-9CC5-376B7E39671A}">
      <text>
        <r>
          <rPr>
            <b/>
            <sz val="9"/>
            <color indexed="81"/>
            <rFont val="Tahoma"/>
            <family val="2"/>
          </rPr>
          <t>Sheena Gossett:</t>
        </r>
        <r>
          <rPr>
            <sz val="9"/>
            <color indexed="81"/>
            <rFont val="Tahoma"/>
            <family val="2"/>
          </rPr>
          <t xml:space="preserve">
per captain</t>
        </r>
      </text>
    </comment>
    <comment ref="Y320" authorId="1" shapeId="0" xr:uid="{1A382640-7E44-403E-867A-80AC49414B2E}">
      <text>
        <r>
          <rPr>
            <b/>
            <sz val="9"/>
            <color indexed="81"/>
            <rFont val="Tahoma"/>
            <family val="2"/>
          </rPr>
          <t>Scott Koenig:</t>
        </r>
        <r>
          <rPr>
            <sz val="9"/>
            <color indexed="81"/>
            <rFont val="Tahoma"/>
            <family val="2"/>
          </rPr>
          <t xml:space="preserve">
$6.24 per $100.</t>
        </r>
      </text>
    </comment>
    <comment ref="AA320" authorId="0" shapeId="0" xr:uid="{A68D8C28-D4E0-47FB-977A-045C47D6D8A3}">
      <text>
        <r>
          <rPr>
            <b/>
            <sz val="9"/>
            <color indexed="81"/>
            <rFont val="Tahoma"/>
            <family val="2"/>
          </rPr>
          <t>Sheena Gossett:</t>
        </r>
        <r>
          <rPr>
            <sz val="9"/>
            <color indexed="81"/>
            <rFont val="Tahoma"/>
            <family val="2"/>
          </rPr>
          <t xml:space="preserve">
$6.24 per $100.</t>
        </r>
      </text>
    </comment>
    <comment ref="Y323" authorId="2" shapeId="0" xr:uid="{4581D753-9434-4955-B9D9-D8151FC632C4}">
      <text>
        <r>
          <rPr>
            <b/>
            <sz val="9"/>
            <color indexed="81"/>
            <rFont val="Tahoma"/>
            <family val="2"/>
          </rPr>
          <t>skoenig:</t>
        </r>
        <r>
          <rPr>
            <sz val="9"/>
            <color indexed="81"/>
            <rFont val="Tahoma"/>
            <family val="2"/>
          </rPr>
          <t xml:space="preserve">
W/S: $1,300; Electric: $3,000; Internet (office): $1,600.  Internet (front of building) $1,500.  Telephone - $200.</t>
        </r>
      </text>
    </comment>
    <comment ref="AA323" authorId="0" shapeId="0" xr:uid="{82F3DF36-A332-482C-8D85-D6CE602AD08D}">
      <text>
        <r>
          <rPr>
            <b/>
            <sz val="9"/>
            <color indexed="81"/>
            <rFont val="Tahoma"/>
            <family val="2"/>
          </rPr>
          <t>Sheena Gossett:</t>
        </r>
        <r>
          <rPr>
            <sz val="9"/>
            <color indexed="81"/>
            <rFont val="Tahoma"/>
            <family val="2"/>
          </rPr>
          <t xml:space="preserve">
Comcast - 4,231.80 - increased bandwidth, increased cost
Comcast - office - $2264.64
Delmarva Power - 1,869.91
Sussex County Water - 1,326.96</t>
        </r>
      </text>
    </comment>
    <comment ref="AA324" authorId="0" shapeId="0" xr:uid="{E36C100B-0653-4B18-AEB7-D8DD142B5A09}">
      <text>
        <r>
          <rPr>
            <b/>
            <sz val="9"/>
            <color indexed="81"/>
            <rFont val="Tahoma"/>
            <family val="2"/>
          </rPr>
          <t xml:space="preserve">Sheena Gossett:
</t>
        </r>
        <r>
          <rPr>
            <sz val="9"/>
            <color indexed="81"/>
            <rFont val="Tahoma"/>
            <family val="2"/>
          </rPr>
          <t>$50 per week during season</t>
        </r>
      </text>
    </comment>
    <comment ref="Y334" authorId="2" shapeId="0" xr:uid="{05C83334-9AD1-4A99-B11D-BD78E275E5FE}">
      <text>
        <r>
          <rPr>
            <b/>
            <sz val="9"/>
            <color indexed="81"/>
            <rFont val="Tahoma"/>
            <family val="2"/>
          </rPr>
          <t>skoenig:</t>
        </r>
        <r>
          <rPr>
            <sz val="9"/>
            <color indexed="81"/>
            <rFont val="Tahoma"/>
            <family val="2"/>
          </rPr>
          <t xml:space="preserve">
Flood Insurance: $986 (2/01/2020 - 2/01/2021)
</t>
        </r>
      </text>
    </comment>
    <comment ref="AA335" authorId="0" shapeId="0" xr:uid="{3162F506-3BB4-4811-B084-6F61DD8D0078}">
      <text>
        <r>
          <rPr>
            <b/>
            <sz val="9"/>
            <color indexed="81"/>
            <rFont val="Tahoma"/>
            <family val="2"/>
          </rPr>
          <t>Sheena Gossett:</t>
        </r>
        <r>
          <rPr>
            <sz val="9"/>
            <color indexed="81"/>
            <rFont val="Tahoma"/>
            <family val="2"/>
          </rPr>
          <t xml:space="preserve">
EMT training &amp; USLA Certifications</t>
        </r>
      </text>
    </comment>
    <comment ref="Y336" authorId="1" shapeId="0" xr:uid="{4DA00902-3CCB-4803-B7C6-583E09746F59}">
      <text>
        <r>
          <rPr>
            <b/>
            <sz val="9"/>
            <color indexed="81"/>
            <rFont val="Tahoma"/>
            <family val="2"/>
          </rPr>
          <t>Scott Koenig:</t>
        </r>
        <r>
          <rPr>
            <sz val="9"/>
            <color indexed="81"/>
            <rFont val="Tahoma"/>
            <family val="2"/>
          </rPr>
          <t xml:space="preserve">
Dues &amp; Publicaitons: $425.00; Profess. Fees: $480; Office: $500; Misc.: $100; First Aid Supplies &amp; equip; $600; Postage $150.  Misc. Rain Gear - $500.</t>
        </r>
      </text>
    </comment>
    <comment ref="W338" authorId="0" shapeId="0" xr:uid="{119708FA-69E0-4B88-BCA2-34C598F595C3}">
      <text>
        <r>
          <rPr>
            <b/>
            <sz val="9"/>
            <color indexed="81"/>
            <rFont val="Tahoma"/>
            <family val="2"/>
          </rPr>
          <t>Sheena Gossett:</t>
        </r>
        <r>
          <rPr>
            <sz val="9"/>
            <color indexed="81"/>
            <rFont val="Tahoma"/>
            <family val="2"/>
          </rPr>
          <t xml:space="preserve">
Includes beach wheelcharis</t>
        </r>
      </text>
    </comment>
    <comment ref="Y339" authorId="1" shapeId="0" xr:uid="{6B8FA7B0-E130-4A4C-A71B-1313A08B97DE}">
      <text>
        <r>
          <rPr>
            <b/>
            <sz val="9"/>
            <color indexed="81"/>
            <rFont val="Tahoma"/>
            <family val="2"/>
          </rPr>
          <t>Scott Koenig:</t>
        </r>
        <r>
          <rPr>
            <sz val="9"/>
            <color indexed="81"/>
            <rFont val="Tahoma"/>
            <family val="2"/>
          </rPr>
          <t xml:space="preserve">
Expenses equal = donations for Beach Patrol, Junior Lifeguards &amp; Beach Patrol 
Competition - $10,000</t>
        </r>
      </text>
    </comment>
    <comment ref="AA340" authorId="0" shapeId="0" xr:uid="{2964B047-BBCA-41A6-BB7C-7D402EB4DA5C}">
      <text>
        <r>
          <rPr>
            <b/>
            <sz val="9"/>
            <color indexed="81"/>
            <rFont val="Tahoma"/>
            <family val="2"/>
          </rPr>
          <t>Sheena Gossett:</t>
        </r>
        <r>
          <rPr>
            <sz val="9"/>
            <color indexed="81"/>
            <rFont val="Tahoma"/>
            <family val="2"/>
          </rPr>
          <t xml:space="preserve">
The last 4 years this has been higher than the $2300 Captain requested
</t>
        </r>
      </text>
    </comment>
  </commentList>
</comments>
</file>

<file path=xl/sharedStrings.xml><?xml version="1.0" encoding="utf-8"?>
<sst xmlns="http://schemas.openxmlformats.org/spreadsheetml/2006/main" count="717" uniqueCount="356">
  <si>
    <t>.</t>
  </si>
  <si>
    <t>Actuals</t>
  </si>
  <si>
    <t>Historic Average</t>
  </si>
  <si>
    <t>FY21 Actual  vs Average</t>
  </si>
  <si>
    <t>FY 21 Actual vs High</t>
  </si>
  <si>
    <t>FY21 Actual  vs Low</t>
  </si>
  <si>
    <t>FY21 Budget  vs Average</t>
  </si>
  <si>
    <t>FY 21 Budget vs High</t>
  </si>
  <si>
    <t>FY21 Budget  vs Low</t>
  </si>
  <si>
    <t>Apr '14 - Mar 15</t>
  </si>
  <si>
    <t>Apr '15 - Mar 16</t>
  </si>
  <si>
    <t>Apr '16 - Mar 17</t>
  </si>
  <si>
    <t>Apr '17 - Mar 18</t>
  </si>
  <si>
    <t>Apr '18 - Mar 19</t>
  </si>
  <si>
    <t>Apr '19 - Mar 20</t>
  </si>
  <si>
    <t>FY21 YTD</t>
  </si>
  <si>
    <t>FY 21 Budget</t>
  </si>
  <si>
    <t>FY 22 Budget</t>
  </si>
  <si>
    <t>High</t>
  </si>
  <si>
    <t>Low</t>
  </si>
  <si>
    <t>Ordinary Income/Expense</t>
  </si>
  <si>
    <t>Income</t>
  </si>
  <si>
    <t>4000000 · Regular Income</t>
  </si>
  <si>
    <t>400000A · Annual</t>
  </si>
  <si>
    <t>4000100 · Transfer Tax</t>
  </si>
  <si>
    <t>4000150 · Transfer Tax Recoup</t>
  </si>
  <si>
    <t>4000200 · Accommodations Tax</t>
  </si>
  <si>
    <t>4000300 · Cable TV Franchise</t>
  </si>
  <si>
    <t>4000400 · Beach Concession Contract</t>
  </si>
  <si>
    <t>Total 400000A · Annual</t>
  </si>
  <si>
    <t>Total 4000000 · Regular Income</t>
  </si>
  <si>
    <t>4010000 · Permits</t>
  </si>
  <si>
    <t>401000A · Licenses</t>
  </si>
  <si>
    <t>4010050 · Business License Fines</t>
  </si>
  <si>
    <t>4010100 · Rental License</t>
  </si>
  <si>
    <t>4010200 · Commercial Rental License</t>
  </si>
  <si>
    <t>4010300 · Commerical Business</t>
  </si>
  <si>
    <t>4010400 · Real Estate Agents</t>
  </si>
  <si>
    <t>Total 401000A · Licenses</t>
  </si>
  <si>
    <t>401000B · Parking</t>
  </si>
  <si>
    <t>4010500 · Seasonal</t>
  </si>
  <si>
    <t>4010600 · Daily</t>
  </si>
  <si>
    <t>4010700 · Parking Meters</t>
  </si>
  <si>
    <t>Total 401000B · Parking</t>
  </si>
  <si>
    <t>401000C · Other</t>
  </si>
  <si>
    <t>4010800 · Building</t>
  </si>
  <si>
    <t>4010900 · Beach Fire</t>
  </si>
  <si>
    <t>4011100 · Dog Licenses</t>
  </si>
  <si>
    <t>Total 401000C · Other</t>
  </si>
  <si>
    <t>Total 4010000 · Permits</t>
  </si>
  <si>
    <t>4020000 · Fines</t>
  </si>
  <si>
    <t>402000A · Parking</t>
  </si>
  <si>
    <t>4020100 · Parking Tickets</t>
  </si>
  <si>
    <t>4020150 · Delinquent Parking Tickets</t>
  </si>
  <si>
    <t>4020200 · Vehicle Booting Fee</t>
  </si>
  <si>
    <t>Total 402000A · Parking</t>
  </si>
  <si>
    <t>402000B · Town</t>
  </si>
  <si>
    <t>4020300 · Ordinance Fines &amp; Court Costs</t>
  </si>
  <si>
    <t>4020400 · Traffic Fines</t>
  </si>
  <si>
    <t>4020500 · Capias / Contempt Charges</t>
  </si>
  <si>
    <t>4020600 · Delinquent Civil Summons</t>
  </si>
  <si>
    <t>4020700 · Traffic Fines - Other Courts</t>
  </si>
  <si>
    <t>4020800 · Ordinance Fines - Other Courts</t>
  </si>
  <si>
    <t>Total 402000B · Town</t>
  </si>
  <si>
    <t>Total 4020000 · Fines</t>
  </si>
  <si>
    <t>4040000 · Misc / Other</t>
  </si>
  <si>
    <t>4040100 · Public Hearing Fees</t>
  </si>
  <si>
    <t>4040200 · Gain / Loss Sale of Equipment</t>
  </si>
  <si>
    <t>4040300 · Interest Income</t>
  </si>
  <si>
    <t>4040400 · Copies</t>
  </si>
  <si>
    <t>4040500 · Donations</t>
  </si>
  <si>
    <t>4040550 · Marketing Donations</t>
  </si>
  <si>
    <t>4040600 · Police Reports</t>
  </si>
  <si>
    <t>4040700 · Police Extra Duty (Paid to the Town)</t>
  </si>
  <si>
    <t>4040800 · Pension State Funding</t>
  </si>
  <si>
    <t>4040900 · Misc</t>
  </si>
  <si>
    <t>4041000 · Town Hall Other</t>
  </si>
  <si>
    <t>Total 4040000 · Misc / Other</t>
  </si>
  <si>
    <t>4050000 · Investments</t>
  </si>
  <si>
    <t>4050100 · Investment Income</t>
  </si>
  <si>
    <t>4050200 · Unrealized Gain / Loss</t>
  </si>
  <si>
    <t>Total 4050000 · Investments</t>
  </si>
  <si>
    <t>4060000 · Grants</t>
  </si>
  <si>
    <t>4060200 · SALLE</t>
  </si>
  <si>
    <t>4060300 · Municipal Street Aid</t>
  </si>
  <si>
    <t>4060500 · Community Transportation Funds</t>
  </si>
  <si>
    <t>Total 4060000 · Grants</t>
  </si>
  <si>
    <t>4070000 · Restricted Income</t>
  </si>
  <si>
    <t>4070100 · Beach Patrol (Donations) - General</t>
  </si>
  <si>
    <t>4070200 · Beach Patrol (Donations) - Junior Lifeguard Program</t>
  </si>
  <si>
    <t>4070300 · Beach Patrol (Donations) - Competition</t>
  </si>
  <si>
    <t>4070400 · Police Department</t>
  </si>
  <si>
    <t>4070500 · DBE Review Fund</t>
  </si>
  <si>
    <t>4070100 · Beach Patrol (Donations)</t>
  </si>
  <si>
    <t>Total 4070000 · Restricted Income</t>
  </si>
  <si>
    <t>4080000 · Dewey Beach Enterprises (DBE)</t>
  </si>
  <si>
    <t>4080100 · Monthly Toward $300k (Ends July 2021)</t>
  </si>
  <si>
    <t>4080200 · Annual in Perpetuity</t>
  </si>
  <si>
    <t>4080300 · DBE Building Permits</t>
  </si>
  <si>
    <t>Total 4080000 · Dewey Beach Enterprises (DBE)</t>
  </si>
  <si>
    <t>Total Income</t>
  </si>
  <si>
    <t>Gross Profit</t>
  </si>
  <si>
    <t>Expenses</t>
  </si>
  <si>
    <t>6010000 · Town Expenses</t>
  </si>
  <si>
    <t>601000A · Administrative</t>
  </si>
  <si>
    <t>6010100 · Bank &amp; Credit Card Fees</t>
  </si>
  <si>
    <t>6010125 · Bank Fees - Transfer Tax</t>
  </si>
  <si>
    <t>6010150 · Collection Agency Fees</t>
  </si>
  <si>
    <t>6010175 · Investment Fees</t>
  </si>
  <si>
    <t>6010200 · Commissioner &amp; Committee Exp</t>
  </si>
  <si>
    <t>6010250 · Election Expenses</t>
  </si>
  <si>
    <t>6010300 · Donations</t>
  </si>
  <si>
    <t>6010400 · Code Update</t>
  </si>
  <si>
    <t>6010500 · Legal Fees - Regular</t>
  </si>
  <si>
    <t>6010550 · Legal Fees - Lawsuit</t>
  </si>
  <si>
    <t>6010600 · Audit Fees</t>
  </si>
  <si>
    <t>6010700 · Comp Plan / Planning Fees</t>
  </si>
  <si>
    <t>6010800 · Beach &amp; Marketing Events</t>
  </si>
  <si>
    <t>6010900 · IT</t>
  </si>
  <si>
    <t>6011000 · Equipment / Asset Purchase</t>
  </si>
  <si>
    <t>6011100 · Employee Bonuses</t>
  </si>
  <si>
    <t>6011200 · Dues / Publications</t>
  </si>
  <si>
    <t>6011300 · Legal Ads</t>
  </si>
  <si>
    <t>6011400 · Extraordinary DBE Expense</t>
  </si>
  <si>
    <t>6011XXX - Transfer to Restricted Funds (20% Building Permit Fees)</t>
  </si>
  <si>
    <t>6011XXX - Transfer to Self-Committed Funds (3% TT to Streets - Formerly Comp)</t>
  </si>
  <si>
    <t>6011XXX - Transfer to Self-Committed Funds (5% TT to TT Recoup)</t>
  </si>
  <si>
    <t>6011XXX - Transfer to Self-Committed Funds (5% Daily Seasonal Permits to Streets - Formerly Signage)</t>
  </si>
  <si>
    <t>601000A · Administrative - Other</t>
  </si>
  <si>
    <t>Total 601000A · Administrative</t>
  </si>
  <si>
    <t>601000B · Operating</t>
  </si>
  <si>
    <t>6012000 · Bayard Avenue Operating</t>
  </si>
  <si>
    <t xml:space="preserve">6012050 · Bayard Avenue Loan </t>
  </si>
  <si>
    <t>6012051 · Bayard Avenue Loan  Interest</t>
  </si>
  <si>
    <t>6012100 · Beautification</t>
  </si>
  <si>
    <t>6012200 · Trash</t>
  </si>
  <si>
    <t>6012300 · Street Signs / Lights (MSA)</t>
  </si>
  <si>
    <t>6012400 · Parking Meter / Permit Expenses</t>
  </si>
  <si>
    <t>6012500 · Street Sweeping / Snow Removal</t>
  </si>
  <si>
    <t>6012600 · Municipal Street Aid Expenditures (Other)</t>
  </si>
  <si>
    <t>6012700 · Town Hall Property Expenses</t>
  </si>
  <si>
    <t>6012800 · Storm Water / Street Flooding</t>
  </si>
  <si>
    <t>Total 601000B · Operating</t>
  </si>
  <si>
    <t>Total 6010000 · Town Expenses</t>
  </si>
  <si>
    <t>6020000 · Administration</t>
  </si>
  <si>
    <t>602000A · Employee Expenses</t>
  </si>
  <si>
    <t>6020100 · Salary &amp; Wages</t>
  </si>
  <si>
    <t>6020110 · Payroll Taxes</t>
  </si>
  <si>
    <t>6020130 · Employee Benefits</t>
  </si>
  <si>
    <t>6020140 · Pension Plan</t>
  </si>
  <si>
    <t>6020160 · Workers Comp Insurance</t>
  </si>
  <si>
    <t>Total 602000A · Employee Expenses</t>
  </si>
  <si>
    <t>602000B · Seasonal Employee Expenses</t>
  </si>
  <si>
    <t>6020300 · Salary &amp; Wages</t>
  </si>
  <si>
    <t>6020310 · Payroll Taxes</t>
  </si>
  <si>
    <t xml:space="preserve"> </t>
  </si>
  <si>
    <t>Total 602000B · Seasonal Employee Expenses</t>
  </si>
  <si>
    <t>602000C · Building Expenses</t>
  </si>
  <si>
    <t>6020500 · Utilities</t>
  </si>
  <si>
    <t>6020510 · Cleaning</t>
  </si>
  <si>
    <t>6020520 · Pest Control</t>
  </si>
  <si>
    <t>6020530 · Building Maintenance</t>
  </si>
  <si>
    <t>Total 602000C · Building Expenses</t>
  </si>
  <si>
    <t>602000D · Vehicles</t>
  </si>
  <si>
    <t>6020605 · Mileage Reimbursement</t>
  </si>
  <si>
    <t>Total 602000D · Vehicles</t>
  </si>
  <si>
    <t>602000E · Operating</t>
  </si>
  <si>
    <t>6021000 · Postage</t>
  </si>
  <si>
    <t>6021100 · Professional Fees</t>
  </si>
  <si>
    <t>6021200 · Insurance</t>
  </si>
  <si>
    <t>6021300 · Dues &amp; Publications</t>
  </si>
  <si>
    <t>6021400 · Training</t>
  </si>
  <si>
    <t>6021500 · Supplies</t>
  </si>
  <si>
    <t>6021600 · Printing</t>
  </si>
  <si>
    <t>6021700 · Misc</t>
  </si>
  <si>
    <t>Total 602000E · Operating</t>
  </si>
  <si>
    <t>Total 6020000 · Administration</t>
  </si>
  <si>
    <t>6030000 · Police</t>
  </si>
  <si>
    <t>603000A · Employee Expenses</t>
  </si>
  <si>
    <t>6030100 · Salary &amp; Wages</t>
  </si>
  <si>
    <t>6030105 · Special Event Payroll (Paid to other jurisdictions)</t>
  </si>
  <si>
    <t>6030110 · Payroll Taxes</t>
  </si>
  <si>
    <t>6030130 · Employee Benefits</t>
  </si>
  <si>
    <t>6030140 · Pension Plan</t>
  </si>
  <si>
    <t>6030150 · Uniforms</t>
  </si>
  <si>
    <t>6030160 · Workers Comp Insurance</t>
  </si>
  <si>
    <t>Total 603000A · Employee Expenses</t>
  </si>
  <si>
    <t>603000B · Admin Employee Expenses</t>
  </si>
  <si>
    <t>6030200 · Salary &amp; Wages (Includes FT &amp; PT Year Round Dispatchers)</t>
  </si>
  <si>
    <t>6030210 · Payroll Taxes</t>
  </si>
  <si>
    <t>6030230 · Employee Benefits</t>
  </si>
  <si>
    <t>6030240 · Pension Plan</t>
  </si>
  <si>
    <t>6030260 · Workers Comp Insurance</t>
  </si>
  <si>
    <t>Total 603000B · Admin Employee Expenses</t>
  </si>
  <si>
    <r>
      <t>603000C · Seasonal Employee Expenses</t>
    </r>
    <r>
      <rPr>
        <sz val="8"/>
        <color rgb="FFFF0000"/>
        <rFont val="Arial"/>
        <family val="2"/>
      </rPr>
      <t xml:space="preserve"> </t>
    </r>
    <r>
      <rPr>
        <b/>
        <sz val="8"/>
        <color rgb="FFFF0000"/>
        <rFont val="Arial"/>
        <family val="2"/>
      </rPr>
      <t>(16 Officers &amp; 2 Dispatchers)</t>
    </r>
  </si>
  <si>
    <t xml:space="preserve">6030300 · Salary &amp; Wages </t>
  </si>
  <si>
    <t>6030310 · Payroll Taxes</t>
  </si>
  <si>
    <t>6030350 · Uniforms</t>
  </si>
  <si>
    <t>6030360 · Workers Comp Insurance</t>
  </si>
  <si>
    <t>Total 603000C · Seasonal Employee Expenses</t>
  </si>
  <si>
    <t>603000D · Building Expenses</t>
  </si>
  <si>
    <t>6030500 · Utilities</t>
  </si>
  <si>
    <t>6030510 · Cleaning</t>
  </si>
  <si>
    <t>6030520 · Pest Control</t>
  </si>
  <si>
    <t>6030530 · Building Maintenance</t>
  </si>
  <si>
    <t>Total 603000D · Building Expenses</t>
  </si>
  <si>
    <t>603000E · Vehicles</t>
  </si>
  <si>
    <t>6030600 · Gas</t>
  </si>
  <si>
    <t>6030605 · Mileage Reimbursement</t>
  </si>
  <si>
    <t>6030610 · Auto Maintenance &amp; Repairs</t>
  </si>
  <si>
    <t>Total 603000E · Vehicles</t>
  </si>
  <si>
    <t>603000F · Operating</t>
  </si>
  <si>
    <t>6031000 · Postage</t>
  </si>
  <si>
    <t>6031100 · Professional Fees</t>
  </si>
  <si>
    <t>6031150 · Legal Ads</t>
  </si>
  <si>
    <t>6031200 · Insurance</t>
  </si>
  <si>
    <t>6031300 · Dues &amp; Publications</t>
  </si>
  <si>
    <t>6031400 · Training</t>
  </si>
  <si>
    <t>6031500 · Supplies</t>
  </si>
  <si>
    <t>6031700 · Misc</t>
  </si>
  <si>
    <t>6031800 · Equipment Maintenance</t>
  </si>
  <si>
    <t>6031900 · Drug Testing</t>
  </si>
  <si>
    <t>Total 603000F · Operating</t>
  </si>
  <si>
    <t>Total 6030000 · Police</t>
  </si>
  <si>
    <t>6040000 · Maintenance</t>
  </si>
  <si>
    <t>604000A · Employee Expenses</t>
  </si>
  <si>
    <t>6040100 · Salary &amp; Wages</t>
  </si>
  <si>
    <t>6040110 · Payroll Taxes</t>
  </si>
  <si>
    <t>6040130 · Employee Benefits</t>
  </si>
  <si>
    <t>6040140 · Pension Plan</t>
  </si>
  <si>
    <t>6040150 · Uniforms</t>
  </si>
  <si>
    <t>6040160 · Workers Comp Insurance</t>
  </si>
  <si>
    <t>Total 604000A · Employee Expenses</t>
  </si>
  <si>
    <t>604000B · Building Expenses</t>
  </si>
  <si>
    <t>6040500 · Utilities</t>
  </si>
  <si>
    <t>6040530 · Building Maintenance</t>
  </si>
  <si>
    <t>Total 604000B · Building Expenses</t>
  </si>
  <si>
    <t>604000C · Vehicles</t>
  </si>
  <si>
    <t>6040600 · Gas</t>
  </si>
  <si>
    <t>6040610 · Auto Maintenance &amp; Repairs</t>
  </si>
  <si>
    <t>Total 604000C · Vehicles</t>
  </si>
  <si>
    <t>604000D · Operating</t>
  </si>
  <si>
    <t>6041200 · Insurance</t>
  </si>
  <si>
    <t>6041500 · Supplies</t>
  </si>
  <si>
    <t>6041700 · Misc</t>
  </si>
  <si>
    <t>6041800 · Equipment Maintenance</t>
  </si>
  <si>
    <t>Total 604000D · Operating</t>
  </si>
  <si>
    <t>Total 6040000 · Maintenance</t>
  </si>
  <si>
    <t>6050000 · Code Enforcement</t>
  </si>
  <si>
    <t>605000A · Employee Expenses</t>
  </si>
  <si>
    <t>6050100 · Salary &amp; Wages</t>
  </si>
  <si>
    <t>6050110 · Payroll Taxes</t>
  </si>
  <si>
    <t>6050130 · Employee Benefits</t>
  </si>
  <si>
    <t>6050140 · Pension Plan</t>
  </si>
  <si>
    <t>6050150 · Uniforms</t>
  </si>
  <si>
    <t>6050160 · Workers Comp Insurance</t>
  </si>
  <si>
    <t>Total 605000A · Employee Expenses</t>
  </si>
  <si>
    <t>605000B · Seasonal Employee Expenses (May 1 thru September 30)</t>
  </si>
  <si>
    <t>6050300 · Salary &amp; Wages</t>
  </si>
  <si>
    <t>6050310 · Payroll Taxes</t>
  </si>
  <si>
    <t>6050350 · Uniforms</t>
  </si>
  <si>
    <t>6050360 · Workers Comp Insurance</t>
  </si>
  <si>
    <t>Total 605000B · Seasonal Employee Expenses</t>
  </si>
  <si>
    <t>605000C · Building Expenses</t>
  </si>
  <si>
    <t>6050500 · Utilities</t>
  </si>
  <si>
    <t>6050510 · Cleaning</t>
  </si>
  <si>
    <t>6050520 · Pest Control</t>
  </si>
  <si>
    <t>6050530 · Building Maintenance</t>
  </si>
  <si>
    <t>Total 605000C · Building Expenses</t>
  </si>
  <si>
    <t>605000D · Vehicles</t>
  </si>
  <si>
    <t>6050600 · Gas</t>
  </si>
  <si>
    <t>6050605 · Mileage Reimbursement</t>
  </si>
  <si>
    <t>6050610 · Auto Maintenance &amp; Repair</t>
  </si>
  <si>
    <t>Total 605000D · Vehicles</t>
  </si>
  <si>
    <t>605000E · Operating</t>
  </si>
  <si>
    <t>6051000 · Postage</t>
  </si>
  <si>
    <t>6051100 · Professional Fees</t>
  </si>
  <si>
    <t>6051200 · Insurance</t>
  </si>
  <si>
    <t>6051300 · Dues &amp; Publications</t>
  </si>
  <si>
    <t>6051400 · Training</t>
  </si>
  <si>
    <t>6051500 · Supplies</t>
  </si>
  <si>
    <t>6051700 · Misc</t>
  </si>
  <si>
    <t>6051900 · Equipment Maintenance</t>
  </si>
  <si>
    <t>Total 605000E · Operating</t>
  </si>
  <si>
    <t>Total 6050000 · Code Enforcement</t>
  </si>
  <si>
    <t>6060000 · Building Inspector</t>
  </si>
  <si>
    <t>606000A · Employee Expenses</t>
  </si>
  <si>
    <t>6060100 · Salary &amp; Wages</t>
  </si>
  <si>
    <t>6060110 · Payroll Taxes</t>
  </si>
  <si>
    <t>6060130 · Employee Benefits</t>
  </si>
  <si>
    <t>6060140 · Pension Plan</t>
  </si>
  <si>
    <t>6060160 · Workers Comp Insurance</t>
  </si>
  <si>
    <t>Total 606000A · Employee Expenses</t>
  </si>
  <si>
    <t>606000B · Vehicles</t>
  </si>
  <si>
    <t>6060600 · Gas</t>
  </si>
  <si>
    <t>Total 606000B · Vehicles</t>
  </si>
  <si>
    <t>606000C · Operating</t>
  </si>
  <si>
    <t>6060500 · Phone</t>
  </si>
  <si>
    <t>6061000 · Postage</t>
  </si>
  <si>
    <t>6061300 · Dues &amp; Publications</t>
  </si>
  <si>
    <t>6061400 · Training</t>
  </si>
  <si>
    <t>6061500 · Supplies</t>
  </si>
  <si>
    <t>6061700 · Misc</t>
  </si>
  <si>
    <t>Total 606000C · Operating</t>
  </si>
  <si>
    <t>Total 6060000 · Building Inspector</t>
  </si>
  <si>
    <t>6070000 · Alderman</t>
  </si>
  <si>
    <t>607000A · Employee Expenses</t>
  </si>
  <si>
    <t>6070100 · Salary &amp; Wages (Aldermen, Clerk &amp; Bailiffs)</t>
  </si>
  <si>
    <t>6070105 · Offset Bailiff Salary</t>
  </si>
  <si>
    <t>6070110 · Payroll Taxes</t>
  </si>
  <si>
    <t>6070150 · Uniforms</t>
  </si>
  <si>
    <t>6060160 · Workers Comp insurance</t>
  </si>
  <si>
    <t>Total 607000A · Employee Expenses</t>
  </si>
  <si>
    <t>607000B · Operating</t>
  </si>
  <si>
    <t>6071000 · Postage</t>
  </si>
  <si>
    <t>6071100 · Professional Fees</t>
  </si>
  <si>
    <t>6071200 · Insurance</t>
  </si>
  <si>
    <t>6071300 · Dues &amp; Publications</t>
  </si>
  <si>
    <t>6071500 · Supplies</t>
  </si>
  <si>
    <t>6071700 · Misc</t>
  </si>
  <si>
    <t>Total 607000B · Operating</t>
  </si>
  <si>
    <t>Total 6070000 · Alderman</t>
  </si>
  <si>
    <t>6080000 · Beach Patrol</t>
  </si>
  <si>
    <t>608000A · Employee Expenses</t>
  </si>
  <si>
    <t>6080100 · Salary &amp; Wages</t>
  </si>
  <si>
    <t>6080110 · Payroll Taxes</t>
  </si>
  <si>
    <t>6080130 · Employee Benefits</t>
  </si>
  <si>
    <t>6080150 · Uniforms</t>
  </si>
  <si>
    <t>Total 608000A · Employee Expenses</t>
  </si>
  <si>
    <t>608000B · Building Expenses</t>
  </si>
  <si>
    <t>6080500 · Utilities</t>
  </si>
  <si>
    <t>6080510 · Cleaning</t>
  </si>
  <si>
    <t>6080530 · Building Maintenance</t>
  </si>
  <si>
    <t>6080550 · Landhold Lease - LSS</t>
  </si>
  <si>
    <t>Total 608000B · Building Expenses</t>
  </si>
  <si>
    <t>608000C · Vehicles</t>
  </si>
  <si>
    <t>6080600 · Gas</t>
  </si>
  <si>
    <t>6080610 · Auto Maintenance &amp; Repair</t>
  </si>
  <si>
    <t>Total 608000C · Vehicles</t>
  </si>
  <si>
    <t>608000D · Operating</t>
  </si>
  <si>
    <t>6081000 · Postage</t>
  </si>
  <si>
    <t>6081200 · Insurance</t>
  </si>
  <si>
    <t>6081400 · Training</t>
  </si>
  <si>
    <t>6081500 · Supplies (Office, First Aid, &amp; Misc.)</t>
  </si>
  <si>
    <t>6081600 · Printing</t>
  </si>
  <si>
    <t>6081700 · Misc (Small Equipment)</t>
  </si>
  <si>
    <t>6081800 · Donation Purchases</t>
  </si>
  <si>
    <t>6081900 · Equipment Maintenance</t>
  </si>
  <si>
    <t>Total 608000D · Operating</t>
  </si>
  <si>
    <r>
      <t xml:space="preserve">Total 6080000 · </t>
    </r>
    <r>
      <rPr>
        <b/>
        <sz val="8"/>
        <color rgb="FF323232"/>
        <rFont val="Arial"/>
        <family val="2"/>
      </rPr>
      <t>Beach Patrol</t>
    </r>
  </si>
  <si>
    <t>Total Expense</t>
  </si>
  <si>
    <t>Net Ordinary Income</t>
  </si>
  <si>
    <t>Net Income</t>
  </si>
  <si>
    <r>
      <t xml:space="preserve">605000B · Seasonal Employee Expenses (May 1 thru September 30) </t>
    </r>
    <r>
      <rPr>
        <b/>
        <sz val="8"/>
        <color rgb="FFFF0000"/>
        <rFont val="Arial"/>
        <family val="2"/>
      </rPr>
      <t>(10 ee)</t>
    </r>
  </si>
  <si>
    <r>
      <t>603000C · Seasonal Employee Expenses</t>
    </r>
    <r>
      <rPr>
        <sz val="8"/>
        <color rgb="FFFF0000"/>
        <rFont val="Arial"/>
        <family val="2"/>
      </rPr>
      <t xml:space="preserve"> </t>
    </r>
    <r>
      <rPr>
        <b/>
        <sz val="8"/>
        <color rgb="FFFF0000"/>
        <rFont val="Arial"/>
        <family val="2"/>
      </rPr>
      <t>(20 Officers &amp; 2 Dispatchers)</t>
    </r>
  </si>
  <si>
    <t>6081300 · Dues &amp; Publications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</si>
</sst>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00"/>
  </numFmts>
  <fonts count="14" x14ac:knownFonts="1">
    <font>
      <sz val="11"/>
      <color theme="1"/>
      <name val="Calibri"/>
      <family val="2"/>
      <scheme val="minor"/>
    </font>
    <font>
      <sz val="11"/>
      <color theme="1"/>
      <name val="Calibri"/>
      <family val="2"/>
      <scheme val="minor"/>
    </font>
    <font>
      <sz val="8"/>
      <color rgb="FF000000"/>
      <name val="Arial"/>
      <family val="2"/>
    </font>
    <font>
      <sz val="8"/>
      <color theme="1"/>
      <name val="Arial"/>
      <family val="2"/>
    </font>
    <font>
      <sz val="8"/>
      <name val="Arial"/>
      <family val="2"/>
    </font>
    <font>
      <sz val="8"/>
      <color rgb="FF323232"/>
      <name val="Arial"/>
      <family val="2"/>
    </font>
    <font>
      <b/>
      <sz val="8"/>
      <name val="Arial"/>
      <family val="2"/>
    </font>
    <font>
      <b/>
      <sz val="8"/>
      <color rgb="FF323232"/>
      <name val="Arial"/>
      <family val="2"/>
    </font>
    <font>
      <b/>
      <sz val="8"/>
      <color rgb="FFFF0000"/>
      <name val="Arial"/>
      <family val="2"/>
    </font>
    <font>
      <sz val="8"/>
      <color rgb="FFFF0000"/>
      <name val="Arial"/>
      <family val="2"/>
    </font>
    <font>
      <b/>
      <sz val="9"/>
      <color indexed="81"/>
      <name val="Tahoma"/>
      <family val="2"/>
    </font>
    <font>
      <sz val="9"/>
      <color indexed="81"/>
      <name val="Tahoma"/>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thick">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89">
    <xf numFmtId="0" fontId="0" fillId="0" borderId="0" xfId="0"/>
    <xf numFmtId="49" fontId="2" fillId="0" borderId="0" xfId="0" applyNumberFormat="1" applyFont="1"/>
    <xf numFmtId="164" fontId="4" fillId="0" borderId="1" xfId="1" applyNumberFormat="1" applyFont="1" applyFill="1" applyBorder="1" applyAlignment="1">
      <alignment horizontal="centerContinuous"/>
    </xf>
    <xf numFmtId="164" fontId="3" fillId="0" borderId="0" xfId="1" applyNumberFormat="1" applyFont="1" applyFill="1" applyBorder="1" applyAlignment="1">
      <alignment horizontal="centerContinuous"/>
    </xf>
    <xf numFmtId="164" fontId="3" fillId="0" borderId="1" xfId="1" applyNumberFormat="1" applyFont="1" applyFill="1" applyBorder="1" applyAlignment="1">
      <alignment horizontal="centerContinuous"/>
    </xf>
    <xf numFmtId="164" fontId="3" fillId="0" borderId="0" xfId="1" applyNumberFormat="1" applyFont="1" applyFill="1"/>
    <xf numFmtId="164" fontId="3" fillId="0" borderId="0" xfId="1" applyNumberFormat="1" applyFont="1" applyFill="1" applyBorder="1" applyAlignment="1">
      <alignment horizontal="center"/>
    </xf>
    <xf numFmtId="0" fontId="3" fillId="0" borderId="0" xfId="0" applyFont="1"/>
    <xf numFmtId="49" fontId="5" fillId="0" borderId="0" xfId="0" applyNumberFormat="1" applyFont="1" applyAlignment="1">
      <alignment horizontal="center"/>
    </xf>
    <xf numFmtId="164" fontId="3" fillId="0" borderId="2" xfId="1" applyNumberFormat="1" applyFont="1" applyFill="1" applyBorder="1" applyAlignment="1">
      <alignment horizontal="center"/>
    </xf>
    <xf numFmtId="164" fontId="2" fillId="0" borderId="2" xfId="1" applyNumberFormat="1" applyFont="1" applyFill="1" applyBorder="1" applyAlignment="1">
      <alignment horizontal="center"/>
    </xf>
    <xf numFmtId="164" fontId="4" fillId="0" borderId="2" xfId="1" applyNumberFormat="1" applyFont="1" applyFill="1" applyBorder="1" applyAlignment="1">
      <alignment horizontal="center"/>
    </xf>
    <xf numFmtId="164" fontId="4" fillId="0" borderId="0" xfId="1" applyNumberFormat="1" applyFont="1" applyFill="1" applyBorder="1" applyAlignment="1">
      <alignment horizontal="center"/>
    </xf>
    <xf numFmtId="49" fontId="4" fillId="0" borderId="0" xfId="0" applyNumberFormat="1" applyFont="1" applyAlignment="1">
      <alignment horizontal="center"/>
    </xf>
    <xf numFmtId="164" fontId="4" fillId="0" borderId="3" xfId="1" applyNumberFormat="1" applyFont="1" applyFill="1" applyBorder="1" applyAlignment="1">
      <alignment horizontal="center"/>
    </xf>
    <xf numFmtId="49" fontId="4" fillId="0" borderId="3" xfId="0" applyNumberFormat="1" applyFont="1" applyBorder="1" applyAlignment="1">
      <alignment horizontal="center"/>
    </xf>
    <xf numFmtId="0" fontId="3" fillId="0" borderId="0" xfId="0" applyFont="1" applyAlignment="1">
      <alignment horizontal="center"/>
    </xf>
    <xf numFmtId="49" fontId="6" fillId="0" borderId="3" xfId="0" applyNumberFormat="1" applyFont="1" applyBorder="1" applyAlignment="1">
      <alignment horizontal="center"/>
    </xf>
    <xf numFmtId="49" fontId="5" fillId="0" borderId="1" xfId="0" applyNumberFormat="1" applyFont="1" applyBorder="1" applyAlignment="1">
      <alignment horizontal="center"/>
    </xf>
    <xf numFmtId="49" fontId="5" fillId="0" borderId="0" xfId="0" applyNumberFormat="1" applyFont="1"/>
    <xf numFmtId="165" fontId="5" fillId="0" borderId="0" xfId="0" applyNumberFormat="1" applyFont="1"/>
    <xf numFmtId="164" fontId="5" fillId="0" borderId="0" xfId="1" applyNumberFormat="1" applyFont="1"/>
    <xf numFmtId="164" fontId="4" fillId="0" borderId="0" xfId="1" applyNumberFormat="1" applyFont="1"/>
    <xf numFmtId="165" fontId="4" fillId="0" borderId="0" xfId="0" applyNumberFormat="1" applyFont="1"/>
    <xf numFmtId="49" fontId="4" fillId="0" borderId="0" xfId="0" applyNumberFormat="1" applyFont="1"/>
    <xf numFmtId="164" fontId="3" fillId="0" borderId="0" xfId="1" applyNumberFormat="1" applyFont="1"/>
    <xf numFmtId="164" fontId="4" fillId="0" borderId="0" xfId="1" applyNumberFormat="1" applyFont="1" applyFill="1"/>
    <xf numFmtId="164" fontId="5" fillId="0" borderId="0" xfId="1" applyNumberFormat="1" applyFont="1" applyBorder="1"/>
    <xf numFmtId="164" fontId="4" fillId="0" borderId="0" xfId="1" applyNumberFormat="1" applyFont="1" applyBorder="1"/>
    <xf numFmtId="164" fontId="4" fillId="0" borderId="0" xfId="1" applyNumberFormat="1" applyFont="1" applyFill="1" applyBorder="1"/>
    <xf numFmtId="164" fontId="5" fillId="0" borderId="4" xfId="1" applyNumberFormat="1" applyFont="1" applyBorder="1"/>
    <xf numFmtId="164" fontId="4" fillId="0" borderId="4" xfId="1" applyNumberFormat="1" applyFont="1" applyBorder="1"/>
    <xf numFmtId="164" fontId="4" fillId="0" borderId="4" xfId="1" applyNumberFormat="1" applyFont="1" applyFill="1" applyBorder="1"/>
    <xf numFmtId="164" fontId="5" fillId="0" borderId="5" xfId="1" applyNumberFormat="1" applyFont="1" applyBorder="1"/>
    <xf numFmtId="164" fontId="4" fillId="0" borderId="5" xfId="1" applyNumberFormat="1" applyFont="1" applyBorder="1"/>
    <xf numFmtId="164" fontId="4" fillId="0" borderId="5" xfId="1" applyNumberFormat="1" applyFont="1" applyFill="1" applyBorder="1"/>
    <xf numFmtId="164" fontId="3" fillId="0" borderId="0" xfId="1" applyNumberFormat="1" applyFont="1" applyBorder="1"/>
    <xf numFmtId="164" fontId="5" fillId="0" borderId="6" xfId="1" applyNumberFormat="1" applyFont="1" applyBorder="1"/>
    <xf numFmtId="164" fontId="4" fillId="0" borderId="6" xfId="1" applyNumberFormat="1" applyFont="1" applyBorder="1"/>
    <xf numFmtId="164" fontId="4" fillId="0" borderId="6" xfId="1" applyNumberFormat="1" applyFont="1" applyFill="1" applyBorder="1"/>
    <xf numFmtId="49" fontId="7" fillId="0" borderId="0" xfId="0" applyNumberFormat="1" applyFont="1"/>
    <xf numFmtId="49" fontId="8" fillId="0" borderId="0" xfId="0" applyNumberFormat="1" applyFont="1"/>
    <xf numFmtId="164" fontId="4" fillId="2" borderId="0" xfId="1" applyNumberFormat="1" applyFont="1" applyFill="1"/>
    <xf numFmtId="164" fontId="3" fillId="0" borderId="0" xfId="1" applyNumberFormat="1" applyFont="1" applyFill="1" applyBorder="1"/>
    <xf numFmtId="164" fontId="7" fillId="0" borderId="4" xfId="1" applyNumberFormat="1" applyFont="1" applyBorder="1"/>
    <xf numFmtId="164" fontId="7" fillId="0" borderId="0" xfId="1" applyNumberFormat="1" applyFont="1"/>
    <xf numFmtId="164" fontId="6" fillId="0" borderId="0" xfId="1" applyNumberFormat="1" applyFont="1"/>
    <xf numFmtId="165" fontId="5" fillId="0" borderId="4" xfId="0" applyNumberFormat="1" applyFont="1" applyBorder="1"/>
    <xf numFmtId="164" fontId="3" fillId="0" borderId="5" xfId="1" applyNumberFormat="1" applyFont="1" applyBorder="1"/>
    <xf numFmtId="164" fontId="6" fillId="0" borderId="5" xfId="1" applyNumberFormat="1" applyFont="1" applyBorder="1"/>
    <xf numFmtId="164" fontId="5" fillId="0" borderId="7" xfId="1" applyNumberFormat="1" applyFont="1" applyBorder="1"/>
    <xf numFmtId="164" fontId="4" fillId="0" borderId="7" xfId="1" applyNumberFormat="1" applyFont="1" applyBorder="1"/>
    <xf numFmtId="164" fontId="4" fillId="2" borderId="7" xfId="1" applyNumberFormat="1" applyFont="1" applyFill="1" applyBorder="1"/>
    <xf numFmtId="0" fontId="5" fillId="0" borderId="0" xfId="0" applyFont="1"/>
    <xf numFmtId="0" fontId="4" fillId="0" borderId="0" xfId="0" applyFont="1"/>
    <xf numFmtId="3" fontId="4" fillId="0" borderId="0" xfId="0" applyNumberFormat="1" applyFont="1"/>
    <xf numFmtId="49" fontId="2" fillId="0" borderId="0" xfId="0" applyNumberFormat="1" applyFont="1" applyFill="1"/>
    <xf numFmtId="0" fontId="3" fillId="0" borderId="0" xfId="0" applyFont="1" applyFill="1"/>
    <xf numFmtId="49" fontId="5" fillId="0" borderId="0" xfId="0" applyNumberFormat="1" applyFont="1" applyFill="1" applyAlignment="1">
      <alignment horizontal="center"/>
    </xf>
    <xf numFmtId="49" fontId="4" fillId="0" borderId="0" xfId="0" applyNumberFormat="1" applyFont="1" applyFill="1" applyAlignment="1">
      <alignment horizontal="center"/>
    </xf>
    <xf numFmtId="49" fontId="4" fillId="0" borderId="3" xfId="0" applyNumberFormat="1" applyFont="1" applyFill="1" applyBorder="1" applyAlignment="1">
      <alignment horizontal="center"/>
    </xf>
    <xf numFmtId="0" fontId="3" fillId="0" borderId="0" xfId="0" applyFont="1" applyFill="1" applyAlignment="1">
      <alignment horizontal="center"/>
    </xf>
    <xf numFmtId="49" fontId="6" fillId="0" borderId="3" xfId="0" applyNumberFormat="1" applyFont="1" applyFill="1" applyBorder="1" applyAlignment="1">
      <alignment horizontal="center"/>
    </xf>
    <xf numFmtId="49" fontId="5" fillId="0" borderId="1" xfId="0" applyNumberFormat="1" applyFont="1" applyFill="1" applyBorder="1" applyAlignment="1">
      <alignment horizontal="center"/>
    </xf>
    <xf numFmtId="49" fontId="5" fillId="0" borderId="0" xfId="0" applyNumberFormat="1" applyFont="1" applyFill="1"/>
    <xf numFmtId="165" fontId="5" fillId="0" borderId="0" xfId="0" applyNumberFormat="1" applyFont="1" applyFill="1"/>
    <xf numFmtId="164" fontId="5" fillId="0" borderId="0" xfId="1" applyNumberFormat="1" applyFont="1" applyFill="1"/>
    <xf numFmtId="165" fontId="4" fillId="0" borderId="0" xfId="0" applyNumberFormat="1" applyFont="1" applyFill="1"/>
    <xf numFmtId="49" fontId="4" fillId="0" borderId="0" xfId="0" applyNumberFormat="1" applyFont="1" applyFill="1"/>
    <xf numFmtId="164" fontId="5" fillId="0" borderId="0" xfId="1" applyNumberFormat="1" applyFont="1" applyFill="1" applyBorder="1"/>
    <xf numFmtId="164" fontId="5" fillId="0" borderId="4" xfId="1" applyNumberFormat="1" applyFont="1" applyFill="1" applyBorder="1"/>
    <xf numFmtId="164" fontId="5" fillId="0" borderId="5" xfId="1" applyNumberFormat="1" applyFont="1" applyFill="1" applyBorder="1"/>
    <xf numFmtId="164" fontId="5" fillId="0" borderId="6" xfId="1" applyNumberFormat="1" applyFont="1" applyFill="1" applyBorder="1"/>
    <xf numFmtId="49" fontId="7" fillId="0" borderId="0" xfId="0" applyNumberFormat="1" applyFont="1" applyFill="1"/>
    <xf numFmtId="49" fontId="8" fillId="0" borderId="0" xfId="0" applyNumberFormat="1" applyFont="1" applyFill="1"/>
    <xf numFmtId="164" fontId="7" fillId="0" borderId="4" xfId="1" applyNumberFormat="1" applyFont="1" applyFill="1" applyBorder="1"/>
    <xf numFmtId="164" fontId="7" fillId="0" borderId="0" xfId="1" applyNumberFormat="1" applyFont="1" applyFill="1"/>
    <xf numFmtId="164" fontId="6" fillId="0" borderId="0" xfId="1" applyNumberFormat="1" applyFont="1" applyFill="1"/>
    <xf numFmtId="165" fontId="5" fillId="0" borderId="4" xfId="0" applyNumberFormat="1" applyFont="1" applyFill="1" applyBorder="1"/>
    <xf numFmtId="164" fontId="3" fillId="0" borderId="5" xfId="1" applyNumberFormat="1" applyFont="1" applyFill="1" applyBorder="1"/>
    <xf numFmtId="164" fontId="6" fillId="0" borderId="5" xfId="1" applyNumberFormat="1" applyFont="1" applyFill="1" applyBorder="1"/>
    <xf numFmtId="164" fontId="5" fillId="0" borderId="7" xfId="1" applyNumberFormat="1" applyFont="1" applyFill="1" applyBorder="1"/>
    <xf numFmtId="164" fontId="4" fillId="0" borderId="7" xfId="1" applyNumberFormat="1" applyFont="1" applyFill="1" applyBorder="1"/>
    <xf numFmtId="0" fontId="5" fillId="0" borderId="0" xfId="0" applyFont="1" applyFill="1"/>
    <xf numFmtId="0" fontId="4" fillId="0" borderId="0" xfId="0" applyFont="1" applyFill="1"/>
    <xf numFmtId="3" fontId="4" fillId="0" borderId="0" xfId="0" applyNumberFormat="1" applyFont="1" applyFill="1"/>
    <xf numFmtId="164" fontId="3" fillId="0" borderId="0" xfId="1" applyNumberFormat="1" applyFont="1" applyFill="1" applyBorder="1" applyAlignment="1">
      <alignment horizontal="center" wrapText="1"/>
    </xf>
    <xf numFmtId="164" fontId="3" fillId="0" borderId="1" xfId="1" applyNumberFormat="1" applyFont="1" applyFill="1" applyBorder="1" applyAlignment="1">
      <alignment horizontal="center" wrapText="1"/>
    </xf>
    <xf numFmtId="164" fontId="3" fillId="0" borderId="1" xfId="1" applyNumberFormat="1"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1791-3074-4B8C-9387-6E24A94D77D7}">
  <sheetPr codeName="Sheet5"/>
  <dimension ref="A1:AN351"/>
  <sheetViews>
    <sheetView tabSelected="1" topLeftCell="B1" zoomScale="130" zoomScaleNormal="130" workbookViewId="0">
      <pane xSplit="6" ySplit="2" topLeftCell="H3" activePane="bottomRight" state="frozen"/>
      <selection activeCell="B1" sqref="B1"/>
      <selection pane="topRight" activeCell="H1" sqref="H1"/>
      <selection pane="bottomLeft" activeCell="B3" sqref="B3"/>
      <selection pane="bottomRight" activeCell="H3" sqref="H3"/>
    </sheetView>
  </sheetViews>
  <sheetFormatPr defaultRowHeight="11.25" x14ac:dyDescent="0.2"/>
  <cols>
    <col min="1" max="6" width="3" style="83" customWidth="1"/>
    <col min="7" max="7" width="52.140625" style="83" customWidth="1"/>
    <col min="8" max="8" width="2.28515625" style="83" customWidth="1"/>
    <col min="9" max="9" width="14.42578125" style="83" customWidth="1"/>
    <col min="10" max="10" width="2.28515625" style="83" customWidth="1"/>
    <col min="11" max="11" width="14.42578125" style="57" customWidth="1"/>
    <col min="12" max="12" width="2.28515625" style="57" customWidth="1"/>
    <col min="13" max="13" width="14.42578125" style="57" customWidth="1"/>
    <col min="14" max="14" width="2.28515625" style="57" customWidth="1"/>
    <col min="15" max="15" width="14.42578125" style="57" customWidth="1"/>
    <col min="16" max="16" width="2.7109375" style="57" customWidth="1"/>
    <col min="17" max="17" width="14.42578125" style="5" customWidth="1"/>
    <col min="18" max="18" width="2.7109375" style="5" customWidth="1"/>
    <col min="19" max="19" width="11.140625" style="26" customWidth="1"/>
    <col min="20" max="21" width="2.7109375" style="84" customWidth="1"/>
    <col min="22" max="22" width="2.28515625" style="84" customWidth="1"/>
    <col min="23" max="23" width="11.140625" style="26" bestFit="1" customWidth="1"/>
    <col min="24" max="24" width="2.28515625" style="84" customWidth="1"/>
    <col min="25" max="25" width="12.140625" style="84" bestFit="1" customWidth="1"/>
    <col min="26" max="26" width="2.28515625" style="57" customWidth="1"/>
    <col min="27" max="27" width="12.140625" style="84" bestFit="1" customWidth="1"/>
    <col min="28" max="28" width="2.7109375" style="57" customWidth="1"/>
    <col min="29" max="31" width="11.140625" style="57" customWidth="1"/>
    <col min="32" max="32" width="2.7109375" style="57" customWidth="1"/>
    <col min="33" max="33" width="11.140625" style="57" customWidth="1"/>
    <col min="34" max="34" width="11.7109375" style="57" customWidth="1"/>
    <col min="35" max="35" width="11.140625" style="57" customWidth="1"/>
    <col min="36" max="36" width="2.7109375" style="57" customWidth="1"/>
    <col min="37" max="37" width="11.140625" style="57" customWidth="1"/>
    <col min="38" max="39" width="11.7109375" style="57" customWidth="1"/>
    <col min="40" max="16384" width="9.140625" style="57"/>
  </cols>
  <sheetData>
    <row r="1" spans="1:39" ht="15.75" customHeight="1" thickBot="1" x14ac:dyDescent="0.25">
      <c r="A1" s="56" t="s">
        <v>0</v>
      </c>
      <c r="B1" s="56"/>
      <c r="C1" s="56"/>
      <c r="D1" s="56"/>
      <c r="E1" s="56"/>
      <c r="F1" s="56"/>
      <c r="G1" s="56"/>
      <c r="H1" s="88" t="s">
        <v>1</v>
      </c>
      <c r="I1" s="88"/>
      <c r="J1" s="88"/>
      <c r="K1" s="88"/>
      <c r="L1" s="88"/>
      <c r="M1" s="88"/>
      <c r="N1" s="88"/>
      <c r="O1" s="88"/>
      <c r="P1" s="88"/>
      <c r="Q1" s="88"/>
      <c r="R1" s="88"/>
      <c r="S1" s="88"/>
      <c r="T1" s="88"/>
      <c r="U1" s="88"/>
      <c r="V1" s="88"/>
      <c r="W1" s="88"/>
      <c r="X1" s="88"/>
      <c r="Y1" s="2"/>
      <c r="Z1" s="3"/>
      <c r="AA1" s="4"/>
      <c r="AB1" s="5"/>
      <c r="AC1" s="86" t="s">
        <v>2</v>
      </c>
      <c r="AD1" s="6"/>
      <c r="AE1" s="6"/>
      <c r="AG1" s="86" t="s">
        <v>3</v>
      </c>
      <c r="AH1" s="86" t="s">
        <v>4</v>
      </c>
      <c r="AI1" s="86" t="s">
        <v>5</v>
      </c>
      <c r="AK1" s="86" t="s">
        <v>6</v>
      </c>
      <c r="AL1" s="86" t="s">
        <v>7</v>
      </c>
      <c r="AM1" s="86" t="s">
        <v>8</v>
      </c>
    </row>
    <row r="2" spans="1:39" s="61" customFormat="1" ht="16.5" customHeight="1" thickTop="1" thickBot="1" x14ac:dyDescent="0.25">
      <c r="A2" s="58"/>
      <c r="B2" s="58"/>
      <c r="C2" s="58"/>
      <c r="D2" s="58"/>
      <c r="E2" s="58"/>
      <c r="F2" s="58"/>
      <c r="G2" s="58"/>
      <c r="H2" s="9"/>
      <c r="I2" s="10" t="s">
        <v>9</v>
      </c>
      <c r="J2" s="9"/>
      <c r="K2" s="10" t="s">
        <v>10</v>
      </c>
      <c r="L2" s="9"/>
      <c r="M2" s="10" t="s">
        <v>11</v>
      </c>
      <c r="N2" s="9"/>
      <c r="O2" s="10" t="s">
        <v>12</v>
      </c>
      <c r="P2" s="10"/>
      <c r="Q2" s="10" t="s">
        <v>13</v>
      </c>
      <c r="R2" s="10"/>
      <c r="S2" s="11" t="s">
        <v>14</v>
      </c>
      <c r="T2" s="12"/>
      <c r="U2" s="12"/>
      <c r="V2" s="59"/>
      <c r="W2" s="14" t="s">
        <v>15</v>
      </c>
      <c r="X2" s="59"/>
      <c r="Y2" s="60" t="s">
        <v>16</v>
      </c>
      <c r="AA2" s="62" t="s">
        <v>17</v>
      </c>
      <c r="AC2" s="87"/>
      <c r="AD2" s="63" t="s">
        <v>18</v>
      </c>
      <c r="AE2" s="63" t="s">
        <v>19</v>
      </c>
      <c r="AG2" s="87"/>
      <c r="AH2" s="87"/>
      <c r="AI2" s="87"/>
      <c r="AK2" s="87"/>
      <c r="AL2" s="87"/>
      <c r="AM2" s="87"/>
    </row>
    <row r="3" spans="1:39" x14ac:dyDescent="0.2">
      <c r="A3" s="64"/>
      <c r="B3" s="64" t="s">
        <v>20</v>
      </c>
      <c r="C3" s="64"/>
      <c r="D3" s="64"/>
      <c r="E3" s="64"/>
      <c r="F3" s="64"/>
      <c r="G3" s="64"/>
      <c r="H3" s="64"/>
      <c r="I3" s="64"/>
      <c r="J3" s="64"/>
      <c r="K3" s="65"/>
      <c r="L3" s="64"/>
      <c r="M3" s="65"/>
      <c r="N3" s="64"/>
      <c r="O3" s="65"/>
      <c r="P3" s="65"/>
      <c r="Q3" s="66"/>
      <c r="R3" s="66"/>
      <c r="T3" s="67"/>
      <c r="U3" s="67"/>
      <c r="V3" s="68"/>
      <c r="X3" s="68"/>
      <c r="Y3" s="67"/>
      <c r="AA3" s="65"/>
      <c r="AC3" s="65"/>
      <c r="AD3" s="65"/>
      <c r="AE3" s="65"/>
      <c r="AG3" s="65"/>
      <c r="AH3" s="65"/>
      <c r="AI3" s="65"/>
      <c r="AK3" s="65"/>
      <c r="AL3" s="65"/>
      <c r="AM3" s="65"/>
    </row>
    <row r="4" spans="1:39" s="5" customFormat="1" x14ac:dyDescent="0.2">
      <c r="A4" s="64"/>
      <c r="B4" s="64"/>
      <c r="C4" s="64"/>
      <c r="D4" s="64" t="s">
        <v>21</v>
      </c>
      <c r="E4" s="64"/>
      <c r="F4" s="64"/>
      <c r="G4" s="64"/>
      <c r="H4" s="66"/>
      <c r="I4" s="66"/>
      <c r="J4" s="66"/>
      <c r="K4" s="66"/>
      <c r="L4" s="66"/>
      <c r="M4" s="66"/>
      <c r="N4" s="66"/>
      <c r="O4" s="66"/>
      <c r="P4" s="66"/>
      <c r="Q4" s="66"/>
      <c r="R4" s="66"/>
      <c r="S4" s="26"/>
      <c r="T4" s="26"/>
      <c r="U4" s="26"/>
      <c r="V4" s="26"/>
      <c r="W4" s="26"/>
      <c r="X4" s="26"/>
      <c r="Y4" s="26"/>
      <c r="AA4" s="66"/>
      <c r="AC4" s="66"/>
      <c r="AD4" s="66"/>
      <c r="AE4" s="66"/>
      <c r="AG4" s="66"/>
      <c r="AH4" s="66"/>
      <c r="AI4" s="66"/>
      <c r="AK4" s="66"/>
      <c r="AL4" s="66"/>
      <c r="AM4" s="66"/>
    </row>
    <row r="5" spans="1:39" s="5" customFormat="1" x14ac:dyDescent="0.2">
      <c r="A5" s="64"/>
      <c r="B5" s="64"/>
      <c r="C5" s="64"/>
      <c r="D5" s="64"/>
      <c r="E5" s="64" t="s">
        <v>22</v>
      </c>
      <c r="F5" s="64"/>
      <c r="G5" s="64"/>
      <c r="H5" s="66"/>
      <c r="I5" s="66"/>
      <c r="J5" s="66"/>
      <c r="K5" s="66"/>
      <c r="L5" s="66"/>
      <c r="M5" s="66"/>
      <c r="N5" s="66"/>
      <c r="O5" s="66"/>
      <c r="P5" s="66"/>
      <c r="Q5" s="66"/>
      <c r="R5" s="66"/>
      <c r="S5" s="26"/>
      <c r="T5" s="26"/>
      <c r="U5" s="26"/>
      <c r="V5" s="26"/>
      <c r="W5" s="26"/>
      <c r="X5" s="26"/>
      <c r="Y5" s="26"/>
      <c r="AA5" s="66"/>
      <c r="AC5" s="66"/>
      <c r="AD5" s="66"/>
      <c r="AE5" s="66"/>
      <c r="AG5" s="66"/>
      <c r="AH5" s="66"/>
      <c r="AI5" s="66"/>
      <c r="AK5" s="66"/>
      <c r="AL5" s="66"/>
      <c r="AM5" s="66"/>
    </row>
    <row r="6" spans="1:39" s="5" customFormat="1" x14ac:dyDescent="0.2">
      <c r="A6" s="64"/>
      <c r="B6" s="64"/>
      <c r="C6" s="64"/>
      <c r="D6" s="64"/>
      <c r="E6" s="64"/>
      <c r="F6" s="64" t="s">
        <v>23</v>
      </c>
      <c r="G6" s="64"/>
      <c r="H6" s="66"/>
      <c r="I6" s="66"/>
      <c r="J6" s="66"/>
      <c r="K6" s="66"/>
      <c r="L6" s="66"/>
      <c r="M6" s="66"/>
      <c r="N6" s="66"/>
      <c r="O6" s="66"/>
      <c r="P6" s="66"/>
      <c r="Q6" s="66"/>
      <c r="R6" s="66"/>
      <c r="S6" s="26"/>
      <c r="T6" s="26"/>
      <c r="U6" s="26"/>
      <c r="V6" s="26"/>
      <c r="W6" s="26"/>
      <c r="X6" s="26"/>
      <c r="Y6" s="26"/>
      <c r="AA6" s="26"/>
      <c r="AC6" s="66"/>
      <c r="AD6" s="66"/>
      <c r="AE6" s="66"/>
      <c r="AG6" s="66"/>
      <c r="AH6" s="66"/>
      <c r="AI6" s="66"/>
      <c r="AK6" s="66"/>
      <c r="AL6" s="66"/>
      <c r="AM6" s="66"/>
    </row>
    <row r="7" spans="1:39" s="5" customFormat="1" x14ac:dyDescent="0.2">
      <c r="A7" s="64"/>
      <c r="B7" s="64"/>
      <c r="C7" s="64"/>
      <c r="D7" s="64"/>
      <c r="E7" s="64"/>
      <c r="F7" s="64"/>
      <c r="G7" s="64" t="s">
        <v>24</v>
      </c>
      <c r="H7" s="66"/>
      <c r="I7" s="66">
        <v>602864</v>
      </c>
      <c r="J7" s="66"/>
      <c r="K7" s="66">
        <v>611483</v>
      </c>
      <c r="L7" s="66"/>
      <c r="M7" s="66">
        <v>733987</v>
      </c>
      <c r="N7" s="66"/>
      <c r="O7" s="66">
        <v>729324.36</v>
      </c>
      <c r="P7" s="66"/>
      <c r="Q7" s="66">
        <v>744785.47</v>
      </c>
      <c r="R7" s="66"/>
      <c r="S7" s="26">
        <v>610372.80000000005</v>
      </c>
      <c r="T7" s="26"/>
      <c r="U7" s="26"/>
      <c r="V7" s="26"/>
      <c r="W7" s="26">
        <v>1114333.81</v>
      </c>
      <c r="X7" s="26"/>
      <c r="Y7" s="26">
        <v>605000</v>
      </c>
      <c r="AA7" s="26">
        <v>750000</v>
      </c>
      <c r="AC7" s="66">
        <f>AVERAGE(K7:S7)</f>
        <v>685990.52599999995</v>
      </c>
      <c r="AD7" s="66">
        <f>MAX(K7:S7)</f>
        <v>744785.47</v>
      </c>
      <c r="AE7" s="66">
        <f>MIN(K7:S7)</f>
        <v>610372.80000000005</v>
      </c>
      <c r="AG7" s="66">
        <f>+W7-AC7</f>
        <v>428343.2840000001</v>
      </c>
      <c r="AH7" s="66">
        <f>+W7-AD7</f>
        <v>369548.34000000008</v>
      </c>
      <c r="AI7" s="66">
        <f>+W7-AE7</f>
        <v>503961.01</v>
      </c>
      <c r="AK7" s="66">
        <f>+Y7-AC7</f>
        <v>-80990.525999999954</v>
      </c>
      <c r="AL7" s="66">
        <f>+Y7-AD7</f>
        <v>-139785.46999999997</v>
      </c>
      <c r="AM7" s="66">
        <f>+Y7-AE7</f>
        <v>-5372.8000000000466</v>
      </c>
    </row>
    <row r="8" spans="1:39" s="5" customFormat="1" x14ac:dyDescent="0.2">
      <c r="A8" s="64"/>
      <c r="B8" s="64"/>
      <c r="C8" s="64"/>
      <c r="D8" s="64"/>
      <c r="E8" s="64"/>
      <c r="F8" s="64"/>
      <c r="G8" s="64" t="s">
        <v>25</v>
      </c>
      <c r="H8" s="66"/>
      <c r="I8" s="66"/>
      <c r="J8" s="66"/>
      <c r="K8" s="66"/>
      <c r="L8" s="66"/>
      <c r="M8" s="66"/>
      <c r="N8" s="66"/>
      <c r="O8" s="66"/>
      <c r="P8" s="66"/>
      <c r="Q8" s="66">
        <v>39199</v>
      </c>
      <c r="R8" s="66"/>
      <c r="S8" s="26">
        <v>29345.11</v>
      </c>
      <c r="T8" s="26"/>
      <c r="U8" s="26"/>
      <c r="V8" s="26"/>
      <c r="W8" s="26">
        <v>61402.59</v>
      </c>
      <c r="X8" s="26"/>
      <c r="Y8" s="26"/>
      <c r="AA8" s="26"/>
      <c r="AC8" s="66">
        <f t="shared" ref="AC8:AC11" si="0">AVERAGE(K8:S8)</f>
        <v>34272.055</v>
      </c>
      <c r="AD8" s="66"/>
      <c r="AE8" s="66"/>
      <c r="AG8" s="66"/>
      <c r="AH8" s="66"/>
      <c r="AI8" s="66"/>
      <c r="AK8" s="66"/>
      <c r="AL8" s="66"/>
      <c r="AM8" s="66"/>
    </row>
    <row r="9" spans="1:39" s="5" customFormat="1" x14ac:dyDescent="0.2">
      <c r="A9" s="64"/>
      <c r="B9" s="64"/>
      <c r="C9" s="64"/>
      <c r="D9" s="64"/>
      <c r="E9" s="64"/>
      <c r="F9" s="64"/>
      <c r="G9" s="64" t="s">
        <v>26</v>
      </c>
      <c r="H9" s="66"/>
      <c r="I9" s="66">
        <v>414052</v>
      </c>
      <c r="J9" s="66"/>
      <c r="K9" s="66">
        <v>473317</v>
      </c>
      <c r="L9" s="66"/>
      <c r="M9" s="66">
        <v>522887</v>
      </c>
      <c r="N9" s="66"/>
      <c r="O9" s="66">
        <v>499054.87</v>
      </c>
      <c r="P9" s="66"/>
      <c r="Q9" s="66">
        <v>510696.11</v>
      </c>
      <c r="R9" s="66"/>
      <c r="S9" s="26">
        <v>426335.34</v>
      </c>
      <c r="T9" s="26"/>
      <c r="U9" s="26"/>
      <c r="V9" s="26"/>
      <c r="W9" s="26">
        <v>458833.91999999998</v>
      </c>
      <c r="X9" s="26"/>
      <c r="Y9" s="26">
        <v>475000</v>
      </c>
      <c r="AA9" s="26">
        <v>475000</v>
      </c>
      <c r="AC9" s="66">
        <f t="shared" si="0"/>
        <v>486458.06399999995</v>
      </c>
      <c r="AD9" s="66">
        <f>MAX(K9:S9)</f>
        <v>522887</v>
      </c>
      <c r="AE9" s="66">
        <f>MIN(K9:S9)</f>
        <v>426335.34</v>
      </c>
      <c r="AG9" s="66">
        <f t="shared" ref="AG9:AG11" si="1">+W9-AC9</f>
        <v>-27624.143999999971</v>
      </c>
      <c r="AH9" s="66">
        <f t="shared" ref="AH9:AH11" si="2">+W9-AD9</f>
        <v>-64053.080000000016</v>
      </c>
      <c r="AI9" s="66">
        <f t="shared" ref="AI9:AI11" si="3">+W9-AE9</f>
        <v>32498.579999999958</v>
      </c>
      <c r="AK9" s="66">
        <f t="shared" ref="AK9:AK11" si="4">+Y9-AC9</f>
        <v>-11458.063999999955</v>
      </c>
      <c r="AL9" s="66">
        <f t="shared" ref="AL9:AL11" si="5">+Y9-AD9</f>
        <v>-47887</v>
      </c>
      <c r="AM9" s="66">
        <f t="shared" ref="AM9:AM11" si="6">+Y9-AE9</f>
        <v>48664.659999999974</v>
      </c>
    </row>
    <row r="10" spans="1:39" s="5" customFormat="1" x14ac:dyDescent="0.2">
      <c r="A10" s="64"/>
      <c r="B10" s="64"/>
      <c r="C10" s="64"/>
      <c r="D10" s="64"/>
      <c r="E10" s="64"/>
      <c r="F10" s="64"/>
      <c r="G10" s="64" t="s">
        <v>27</v>
      </c>
      <c r="H10" s="66"/>
      <c r="I10" s="66">
        <v>42944</v>
      </c>
      <c r="J10" s="66"/>
      <c r="K10" s="66">
        <v>50722</v>
      </c>
      <c r="L10" s="66"/>
      <c r="M10" s="66">
        <v>54119</v>
      </c>
      <c r="N10" s="66"/>
      <c r="O10" s="66">
        <v>58053.04</v>
      </c>
      <c r="P10" s="66"/>
      <c r="Q10" s="66">
        <v>55465.42</v>
      </c>
      <c r="R10" s="66"/>
      <c r="S10" s="26">
        <v>58509.86</v>
      </c>
      <c r="T10" s="26"/>
      <c r="U10" s="26"/>
      <c r="V10" s="26"/>
      <c r="W10" s="26">
        <v>45877.46</v>
      </c>
      <c r="X10" s="26"/>
      <c r="Y10" s="26">
        <v>58000</v>
      </c>
      <c r="AA10" s="26">
        <v>58000</v>
      </c>
      <c r="AC10" s="66">
        <f t="shared" si="0"/>
        <v>55373.864000000001</v>
      </c>
      <c r="AD10" s="66">
        <f>MAX(K10:S10)</f>
        <v>58509.86</v>
      </c>
      <c r="AE10" s="66">
        <f>MIN(K10:S10)</f>
        <v>50722</v>
      </c>
      <c r="AG10" s="66">
        <f t="shared" si="1"/>
        <v>-9496.4040000000023</v>
      </c>
      <c r="AH10" s="66">
        <f t="shared" si="2"/>
        <v>-12632.400000000001</v>
      </c>
      <c r="AI10" s="66">
        <f t="shared" si="3"/>
        <v>-4844.5400000000009</v>
      </c>
      <c r="AK10" s="66">
        <f t="shared" si="4"/>
        <v>2626.1359999999986</v>
      </c>
      <c r="AL10" s="66">
        <f t="shared" si="5"/>
        <v>-509.86000000000058</v>
      </c>
      <c r="AM10" s="66">
        <f t="shared" si="6"/>
        <v>7278</v>
      </c>
    </row>
    <row r="11" spans="1:39" s="5" customFormat="1" ht="12" thickBot="1" x14ac:dyDescent="0.25">
      <c r="A11" s="64"/>
      <c r="B11" s="64"/>
      <c r="C11" s="64"/>
      <c r="D11" s="64"/>
      <c r="E11" s="64"/>
      <c r="F11" s="64"/>
      <c r="G11" s="64" t="s">
        <v>28</v>
      </c>
      <c r="H11" s="66"/>
      <c r="I11" s="69">
        <v>66000</v>
      </c>
      <c r="J11" s="66"/>
      <c r="K11" s="69">
        <v>65000</v>
      </c>
      <c r="L11" s="66"/>
      <c r="M11" s="69">
        <v>65000</v>
      </c>
      <c r="N11" s="66"/>
      <c r="O11" s="69">
        <v>70000</v>
      </c>
      <c r="P11" s="69"/>
      <c r="Q11" s="66">
        <v>70000</v>
      </c>
      <c r="R11" s="66"/>
      <c r="S11" s="29">
        <v>70000</v>
      </c>
      <c r="T11" s="29"/>
      <c r="U11" s="29"/>
      <c r="V11" s="26"/>
      <c r="W11" s="29">
        <v>70000</v>
      </c>
      <c r="X11" s="26"/>
      <c r="Y11" s="29">
        <v>70000</v>
      </c>
      <c r="AA11" s="29">
        <v>70000</v>
      </c>
      <c r="AC11" s="69">
        <f t="shared" si="0"/>
        <v>68000</v>
      </c>
      <c r="AD11" s="69">
        <f>MAX(K11:S11)</f>
        <v>70000</v>
      </c>
      <c r="AE11" s="69">
        <f>MIN(K11:S11)</f>
        <v>65000</v>
      </c>
      <c r="AG11" s="69">
        <f t="shared" si="1"/>
        <v>2000</v>
      </c>
      <c r="AH11" s="69">
        <f t="shared" si="2"/>
        <v>0</v>
      </c>
      <c r="AI11" s="69">
        <f t="shared" si="3"/>
        <v>5000</v>
      </c>
      <c r="AK11" s="69">
        <f t="shared" si="4"/>
        <v>2000</v>
      </c>
      <c r="AL11" s="69">
        <f t="shared" si="5"/>
        <v>0</v>
      </c>
      <c r="AM11" s="69">
        <f t="shared" si="6"/>
        <v>5000</v>
      </c>
    </row>
    <row r="12" spans="1:39" s="5" customFormat="1" ht="12" thickBot="1" x14ac:dyDescent="0.25">
      <c r="A12" s="64"/>
      <c r="B12" s="64"/>
      <c r="C12" s="64"/>
      <c r="D12" s="64"/>
      <c r="E12" s="64"/>
      <c r="F12" s="64" t="s">
        <v>29</v>
      </c>
      <c r="G12" s="64"/>
      <c r="H12" s="66"/>
      <c r="I12" s="70">
        <f>ROUND(SUM(I6:I11),5)</f>
        <v>1125860</v>
      </c>
      <c r="J12" s="66"/>
      <c r="K12" s="70">
        <f>ROUND(SUM(K6:K11),5)</f>
        <v>1200522</v>
      </c>
      <c r="L12" s="66"/>
      <c r="M12" s="70">
        <f>ROUND(SUM(M6:M11),5)</f>
        <v>1375993</v>
      </c>
      <c r="N12" s="66"/>
      <c r="O12" s="70">
        <f>ROUND(SUM(O6:O11),5)</f>
        <v>1356432.27</v>
      </c>
      <c r="P12" s="70"/>
      <c r="Q12" s="70">
        <f>ROUND(SUM(Q6:Q11),5)</f>
        <v>1420146</v>
      </c>
      <c r="R12" s="70"/>
      <c r="S12" s="32">
        <f>ROUND(SUM(S6:S11),5)</f>
        <v>1194563.1100000001</v>
      </c>
      <c r="T12" s="29"/>
      <c r="U12" s="29"/>
      <c r="V12" s="26"/>
      <c r="W12" s="32">
        <f>ROUND(SUM(W6:W11),5)</f>
        <v>1750447.78</v>
      </c>
      <c r="X12" s="26"/>
      <c r="Y12" s="32">
        <f>ROUND(SUM(Y6:Y11),5)</f>
        <v>1208000</v>
      </c>
      <c r="AA12" s="32">
        <f>ROUND(SUM(AA6:AA11),5)</f>
        <v>1353000</v>
      </c>
      <c r="AC12" s="70">
        <f t="shared" ref="AC12:AE12" si="7">ROUND(SUM(AC6:AC11),5)</f>
        <v>1330094.5090000001</v>
      </c>
      <c r="AD12" s="70">
        <f t="shared" si="7"/>
        <v>1396182.33</v>
      </c>
      <c r="AE12" s="70">
        <f t="shared" si="7"/>
        <v>1152430.1399999999</v>
      </c>
      <c r="AG12" s="70">
        <f t="shared" ref="AG12:AI12" si="8">ROUND(SUM(AG6:AG11),5)</f>
        <v>393222.73599999998</v>
      </c>
      <c r="AH12" s="70">
        <f t="shared" si="8"/>
        <v>292862.86</v>
      </c>
      <c r="AI12" s="70">
        <f t="shared" si="8"/>
        <v>536615.05000000005</v>
      </c>
      <c r="AK12" s="70"/>
      <c r="AL12" s="70"/>
      <c r="AM12" s="70"/>
    </row>
    <row r="13" spans="1:39" s="5" customFormat="1" x14ac:dyDescent="0.2">
      <c r="A13" s="64"/>
      <c r="B13" s="64"/>
      <c r="C13" s="64"/>
      <c r="D13" s="64"/>
      <c r="E13" s="64" t="s">
        <v>30</v>
      </c>
      <c r="F13" s="64"/>
      <c r="G13" s="64"/>
      <c r="H13" s="66"/>
      <c r="I13" s="66">
        <f>ROUND(I5+I12,5)</f>
        <v>1125860</v>
      </c>
      <c r="J13" s="66"/>
      <c r="K13" s="66">
        <f>ROUND(K5+K12,5)</f>
        <v>1200522</v>
      </c>
      <c r="L13" s="66"/>
      <c r="M13" s="66">
        <f>ROUND(M5+M12,5)</f>
        <v>1375993</v>
      </c>
      <c r="N13" s="66"/>
      <c r="O13" s="66">
        <f>ROUND(O5+O12,5)</f>
        <v>1356432.27</v>
      </c>
      <c r="P13" s="66"/>
      <c r="Q13" s="66">
        <f>ROUND(Q5+Q12,5)</f>
        <v>1420146</v>
      </c>
      <c r="R13" s="66"/>
      <c r="S13" s="26">
        <f>ROUND(S5+S12,5)</f>
        <v>1194563.1100000001</v>
      </c>
      <c r="T13" s="26"/>
      <c r="U13" s="26"/>
      <c r="V13" s="26"/>
      <c r="W13" s="26">
        <f>ROUND(W5+W12,5)</f>
        <v>1750447.78</v>
      </c>
      <c r="X13" s="26"/>
      <c r="Y13" s="26">
        <f>ROUND(Y5+Y12,5)</f>
        <v>1208000</v>
      </c>
      <c r="AA13" s="26">
        <f>ROUND(AA5+AA12,5)</f>
        <v>1353000</v>
      </c>
      <c r="AC13" s="66">
        <f t="shared" ref="AC13:AE13" si="9">ROUND(AC5+AC12,5)</f>
        <v>1330094.5090000001</v>
      </c>
      <c r="AD13" s="66">
        <f t="shared" si="9"/>
        <v>1396182.33</v>
      </c>
      <c r="AE13" s="66">
        <f t="shared" si="9"/>
        <v>1152430.1399999999</v>
      </c>
      <c r="AG13" s="66">
        <f t="shared" ref="AG13:AI13" si="10">ROUND(AG5+AG12,5)</f>
        <v>393222.73599999998</v>
      </c>
      <c r="AH13" s="66">
        <f t="shared" si="10"/>
        <v>292862.86</v>
      </c>
      <c r="AI13" s="66">
        <f t="shared" si="10"/>
        <v>536615.05000000005</v>
      </c>
      <c r="AK13" s="66"/>
      <c r="AL13" s="66"/>
      <c r="AM13" s="66"/>
    </row>
    <row r="14" spans="1:39" s="5" customFormat="1" x14ac:dyDescent="0.2">
      <c r="A14" s="64"/>
      <c r="B14" s="64"/>
      <c r="C14" s="64"/>
      <c r="D14" s="64"/>
      <c r="E14" s="64" t="s">
        <v>31</v>
      </c>
      <c r="F14" s="64"/>
      <c r="G14" s="64"/>
      <c r="H14" s="66"/>
      <c r="I14" s="66"/>
      <c r="J14" s="66"/>
      <c r="K14" s="66"/>
      <c r="L14" s="66"/>
      <c r="M14" s="66"/>
      <c r="N14" s="66"/>
      <c r="O14" s="66"/>
      <c r="P14" s="66"/>
      <c r="Q14" s="66"/>
      <c r="R14" s="66"/>
      <c r="S14" s="26"/>
      <c r="T14" s="26"/>
      <c r="U14" s="26"/>
      <c r="V14" s="26"/>
      <c r="W14" s="26"/>
      <c r="X14" s="26"/>
      <c r="Y14" s="26"/>
      <c r="AA14" s="26"/>
      <c r="AC14" s="66"/>
      <c r="AD14" s="66"/>
      <c r="AE14" s="66"/>
      <c r="AG14" s="66"/>
      <c r="AH14" s="66"/>
      <c r="AI14" s="66"/>
      <c r="AK14" s="66"/>
      <c r="AL14" s="66"/>
      <c r="AM14" s="66"/>
    </row>
    <row r="15" spans="1:39" s="5" customFormat="1" x14ac:dyDescent="0.2">
      <c r="A15" s="64"/>
      <c r="B15" s="64"/>
      <c r="C15" s="64"/>
      <c r="D15" s="64"/>
      <c r="E15" s="64"/>
      <c r="F15" s="64" t="s">
        <v>32</v>
      </c>
      <c r="G15" s="64"/>
      <c r="H15" s="66"/>
      <c r="I15" s="66"/>
      <c r="J15" s="66"/>
      <c r="K15" s="66"/>
      <c r="L15" s="66"/>
      <c r="M15" s="66"/>
      <c r="N15" s="66"/>
      <c r="O15" s="66"/>
      <c r="P15" s="66"/>
      <c r="Q15" s="66"/>
      <c r="R15" s="66"/>
      <c r="S15" s="26"/>
      <c r="T15" s="26"/>
      <c r="U15" s="26"/>
      <c r="V15" s="26"/>
      <c r="W15" s="26"/>
      <c r="X15" s="26"/>
      <c r="Y15" s="26"/>
      <c r="AA15" s="26"/>
      <c r="AC15" s="66"/>
      <c r="AD15" s="66"/>
      <c r="AE15" s="66"/>
      <c r="AG15" s="66"/>
      <c r="AH15" s="66"/>
      <c r="AI15" s="66"/>
      <c r="AK15" s="66"/>
      <c r="AL15" s="66"/>
      <c r="AM15" s="66"/>
    </row>
    <row r="16" spans="1:39" s="5" customFormat="1" x14ac:dyDescent="0.2">
      <c r="A16" s="64"/>
      <c r="B16" s="64"/>
      <c r="C16" s="64"/>
      <c r="D16" s="64"/>
      <c r="E16" s="64"/>
      <c r="F16" s="64"/>
      <c r="G16" s="64" t="s">
        <v>33</v>
      </c>
      <c r="H16" s="66"/>
      <c r="I16" s="66">
        <v>516</v>
      </c>
      <c r="J16" s="66"/>
      <c r="K16" s="66">
        <v>0</v>
      </c>
      <c r="L16" s="66"/>
      <c r="M16" s="66">
        <v>0</v>
      </c>
      <c r="N16" s="66"/>
      <c r="O16" s="66">
        <v>0</v>
      </c>
      <c r="P16" s="66"/>
      <c r="Q16" s="66">
        <v>0</v>
      </c>
      <c r="R16" s="66"/>
      <c r="S16" s="26">
        <v>500</v>
      </c>
      <c r="T16" s="26"/>
      <c r="U16" s="26"/>
      <c r="V16" s="26"/>
      <c r="W16" s="26">
        <v>300</v>
      </c>
      <c r="X16" s="26"/>
      <c r="Y16" s="26">
        <v>0</v>
      </c>
      <c r="AA16" s="26">
        <v>0</v>
      </c>
      <c r="AC16" s="66">
        <f t="shared" ref="AC16:AC20" si="11">AVERAGE(K16:S16)</f>
        <v>100</v>
      </c>
      <c r="AD16" s="66">
        <f>MAX(K16:S16)</f>
        <v>500</v>
      </c>
      <c r="AE16" s="66">
        <f>MIN(K16:S16)</f>
        <v>0</v>
      </c>
      <c r="AG16" s="66">
        <f t="shared" ref="AG16:AG20" si="12">+W16-AC16</f>
        <v>200</v>
      </c>
      <c r="AH16" s="66">
        <f t="shared" ref="AH16:AH20" si="13">+W16-AD16</f>
        <v>-200</v>
      </c>
      <c r="AI16" s="66">
        <f t="shared" ref="AI16:AI20" si="14">+W16-AE16</f>
        <v>300</v>
      </c>
      <c r="AK16" s="66">
        <f t="shared" ref="AK16:AK20" si="15">+Y16-AC16</f>
        <v>-100</v>
      </c>
      <c r="AL16" s="66">
        <f t="shared" ref="AL16:AL20" si="16">+Y16-AD16</f>
        <v>-500</v>
      </c>
      <c r="AM16" s="66">
        <f t="shared" ref="AM16:AM20" si="17">+Y16-AE16</f>
        <v>0</v>
      </c>
    </row>
    <row r="17" spans="1:39" s="5" customFormat="1" x14ac:dyDescent="0.2">
      <c r="A17" s="64"/>
      <c r="B17" s="64"/>
      <c r="C17" s="64"/>
      <c r="D17" s="64"/>
      <c r="E17" s="64"/>
      <c r="F17" s="64"/>
      <c r="G17" s="64" t="s">
        <v>34</v>
      </c>
      <c r="H17" s="66"/>
      <c r="I17" s="66">
        <v>73262</v>
      </c>
      <c r="J17" s="66"/>
      <c r="K17" s="66">
        <v>113988</v>
      </c>
      <c r="L17" s="66"/>
      <c r="M17" s="66">
        <v>119728</v>
      </c>
      <c r="N17" s="66"/>
      <c r="O17" s="66">
        <v>107722.02</v>
      </c>
      <c r="P17" s="66"/>
      <c r="Q17" s="66">
        <v>100923.4</v>
      </c>
      <c r="R17" s="66"/>
      <c r="S17" s="26">
        <v>60519</v>
      </c>
      <c r="T17" s="26"/>
      <c r="U17" s="26"/>
      <c r="V17" s="26"/>
      <c r="W17" s="26">
        <v>63884</v>
      </c>
      <c r="X17" s="26"/>
      <c r="Y17" s="26">
        <v>103500</v>
      </c>
      <c r="AA17" s="26">
        <v>100000</v>
      </c>
      <c r="AC17" s="66">
        <f t="shared" si="11"/>
        <v>100576.084</v>
      </c>
      <c r="AD17" s="66">
        <f>MAX(K17:S17)</f>
        <v>119728</v>
      </c>
      <c r="AE17" s="66">
        <f>MIN(K17:S17)</f>
        <v>60519</v>
      </c>
      <c r="AG17" s="66">
        <f t="shared" si="12"/>
        <v>-36692.084000000003</v>
      </c>
      <c r="AH17" s="66">
        <f t="shared" si="13"/>
        <v>-55844</v>
      </c>
      <c r="AI17" s="66">
        <f t="shared" si="14"/>
        <v>3365</v>
      </c>
      <c r="AK17" s="66">
        <f t="shared" si="15"/>
        <v>2923.9159999999974</v>
      </c>
      <c r="AL17" s="66">
        <f t="shared" si="16"/>
        <v>-16228</v>
      </c>
      <c r="AM17" s="66">
        <f t="shared" si="17"/>
        <v>42981</v>
      </c>
    </row>
    <row r="18" spans="1:39" s="5" customFormat="1" x14ac:dyDescent="0.2">
      <c r="A18" s="64"/>
      <c r="B18" s="64"/>
      <c r="C18" s="64"/>
      <c r="D18" s="64"/>
      <c r="E18" s="64"/>
      <c r="F18" s="64"/>
      <c r="G18" s="64" t="s">
        <v>35</v>
      </c>
      <c r="H18" s="66"/>
      <c r="I18" s="66"/>
      <c r="J18" s="66"/>
      <c r="K18" s="66">
        <v>3686</v>
      </c>
      <c r="L18" s="66"/>
      <c r="M18" s="66">
        <v>4124</v>
      </c>
      <c r="N18" s="66"/>
      <c r="O18" s="66">
        <v>4551.3500000000004</v>
      </c>
      <c r="P18" s="66"/>
      <c r="Q18" s="66">
        <v>2293</v>
      </c>
      <c r="R18" s="66"/>
      <c r="S18" s="26">
        <v>1746</v>
      </c>
      <c r="T18" s="26"/>
      <c r="U18" s="26"/>
      <c r="V18" s="26"/>
      <c r="W18" s="26">
        <v>1255</v>
      </c>
      <c r="X18" s="26"/>
      <c r="Y18" s="26">
        <v>2000</v>
      </c>
      <c r="AA18" s="26">
        <v>2000</v>
      </c>
      <c r="AC18" s="66">
        <f t="shared" si="11"/>
        <v>3280.0699999999997</v>
      </c>
      <c r="AD18" s="66">
        <f>MAX(K18:S18)</f>
        <v>4551.3500000000004</v>
      </c>
      <c r="AE18" s="66">
        <f>MIN(K18:S18)</f>
        <v>1746</v>
      </c>
      <c r="AG18" s="66">
        <f t="shared" si="12"/>
        <v>-2025.0699999999997</v>
      </c>
      <c r="AH18" s="66">
        <f t="shared" si="13"/>
        <v>-3296.3500000000004</v>
      </c>
      <c r="AI18" s="66">
        <f t="shared" si="14"/>
        <v>-491</v>
      </c>
      <c r="AK18" s="66">
        <f t="shared" si="15"/>
        <v>-1280.0699999999997</v>
      </c>
      <c r="AL18" s="66">
        <f t="shared" si="16"/>
        <v>-2551.3500000000004</v>
      </c>
      <c r="AM18" s="66">
        <f t="shared" si="17"/>
        <v>254</v>
      </c>
    </row>
    <row r="19" spans="1:39" s="5" customFormat="1" x14ac:dyDescent="0.2">
      <c r="A19" s="64"/>
      <c r="B19" s="64"/>
      <c r="C19" s="64"/>
      <c r="D19" s="64"/>
      <c r="E19" s="64"/>
      <c r="F19" s="64"/>
      <c r="G19" s="64" t="s">
        <v>36</v>
      </c>
      <c r="H19" s="66"/>
      <c r="I19" s="66">
        <v>227266</v>
      </c>
      <c r="J19" s="66"/>
      <c r="K19" s="66">
        <v>269309</v>
      </c>
      <c r="L19" s="66"/>
      <c r="M19" s="66">
        <f>234411+1391</f>
        <v>235802</v>
      </c>
      <c r="N19" s="66"/>
      <c r="O19" s="66">
        <v>192032.32</v>
      </c>
      <c r="P19" s="66"/>
      <c r="Q19" s="66">
        <v>220165</v>
      </c>
      <c r="R19" s="66"/>
      <c r="S19" s="26">
        <v>188845</v>
      </c>
      <c r="T19" s="26"/>
      <c r="U19" s="26"/>
      <c r="V19" s="26"/>
      <c r="W19" s="26">
        <v>71878</v>
      </c>
      <c r="X19" s="26"/>
      <c r="Y19" s="26">
        <v>227500</v>
      </c>
      <c r="AA19" s="26">
        <v>225000</v>
      </c>
      <c r="AC19" s="66">
        <f t="shared" si="11"/>
        <v>221230.66400000002</v>
      </c>
      <c r="AD19" s="66">
        <f>MAX(K19:S19)</f>
        <v>269309</v>
      </c>
      <c r="AE19" s="66">
        <f>MIN(K19:S19)</f>
        <v>188845</v>
      </c>
      <c r="AG19" s="66">
        <f t="shared" si="12"/>
        <v>-149352.66400000002</v>
      </c>
      <c r="AH19" s="66">
        <f t="shared" si="13"/>
        <v>-197431</v>
      </c>
      <c r="AI19" s="66">
        <f t="shared" si="14"/>
        <v>-116967</v>
      </c>
      <c r="AK19" s="66">
        <f t="shared" si="15"/>
        <v>6269.3359999999811</v>
      </c>
      <c r="AL19" s="66">
        <f t="shared" si="16"/>
        <v>-41809</v>
      </c>
      <c r="AM19" s="66">
        <f t="shared" si="17"/>
        <v>38655</v>
      </c>
    </row>
    <row r="20" spans="1:39" s="5" customFormat="1" ht="12" thickBot="1" x14ac:dyDescent="0.25">
      <c r="A20" s="64"/>
      <c r="B20" s="64"/>
      <c r="C20" s="64"/>
      <c r="D20" s="64"/>
      <c r="E20" s="64"/>
      <c r="F20" s="64"/>
      <c r="G20" s="64" t="s">
        <v>37</v>
      </c>
      <c r="H20" s="66"/>
      <c r="I20" s="71">
        <v>10273</v>
      </c>
      <c r="J20" s="66"/>
      <c r="K20" s="71">
        <v>7086</v>
      </c>
      <c r="L20" s="66"/>
      <c r="M20" s="71">
        <v>11369</v>
      </c>
      <c r="N20" s="66"/>
      <c r="O20" s="71">
        <v>6159</v>
      </c>
      <c r="P20" s="71"/>
      <c r="Q20" s="71">
        <v>7957</v>
      </c>
      <c r="R20" s="71"/>
      <c r="S20" s="35">
        <v>4469</v>
      </c>
      <c r="T20" s="29"/>
      <c r="U20" s="29"/>
      <c r="V20" s="26"/>
      <c r="W20" s="35">
        <v>763</v>
      </c>
      <c r="X20" s="26"/>
      <c r="Y20" s="35">
        <v>500</v>
      </c>
      <c r="AA20" s="35">
        <v>0</v>
      </c>
      <c r="AC20" s="71">
        <f t="shared" si="11"/>
        <v>7408</v>
      </c>
      <c r="AD20" s="71">
        <f>MAX(K20:S20)</f>
        <v>11369</v>
      </c>
      <c r="AE20" s="71">
        <f>MIN(K20:S20)</f>
        <v>4469</v>
      </c>
      <c r="AG20" s="71">
        <f t="shared" si="12"/>
        <v>-6645</v>
      </c>
      <c r="AH20" s="71">
        <f t="shared" si="13"/>
        <v>-10606</v>
      </c>
      <c r="AI20" s="71">
        <f t="shared" si="14"/>
        <v>-3706</v>
      </c>
      <c r="AK20" s="71">
        <f t="shared" si="15"/>
        <v>-6908</v>
      </c>
      <c r="AL20" s="71">
        <f t="shared" si="16"/>
        <v>-10869</v>
      </c>
      <c r="AM20" s="71">
        <f t="shared" si="17"/>
        <v>-3969</v>
      </c>
    </row>
    <row r="21" spans="1:39" s="5" customFormat="1" x14ac:dyDescent="0.2">
      <c r="A21" s="64"/>
      <c r="B21" s="64"/>
      <c r="C21" s="64"/>
      <c r="D21" s="64"/>
      <c r="E21" s="64"/>
      <c r="F21" s="64" t="s">
        <v>38</v>
      </c>
      <c r="G21" s="64"/>
      <c r="H21" s="66"/>
      <c r="I21" s="66">
        <f>ROUND(SUM(I15:I20),5)</f>
        <v>311317</v>
      </c>
      <c r="J21" s="66"/>
      <c r="K21" s="66">
        <f>ROUND(SUM(K15:K20),5)</f>
        <v>394069</v>
      </c>
      <c r="L21" s="66"/>
      <c r="M21" s="66">
        <f>ROUND(SUM(M15:M20),5)</f>
        <v>371023</v>
      </c>
      <c r="N21" s="66"/>
      <c r="O21" s="66">
        <f>ROUND(SUM(O15:O20),5)</f>
        <v>310464.69</v>
      </c>
      <c r="P21" s="66"/>
      <c r="Q21" s="66">
        <f>ROUND(SUM(Q15:Q20),5)</f>
        <v>331338.40000000002</v>
      </c>
      <c r="R21" s="66"/>
      <c r="S21" s="26">
        <f>ROUND(SUM(S15:S20),5)</f>
        <v>256079</v>
      </c>
      <c r="T21" s="26"/>
      <c r="U21" s="26"/>
      <c r="V21" s="26"/>
      <c r="W21" s="26">
        <f>ROUND(SUM(W15:W20),5)</f>
        <v>138080</v>
      </c>
      <c r="X21" s="26"/>
      <c r="Y21" s="26">
        <f>ROUND(SUM(Y15:Y20),5)</f>
        <v>333500</v>
      </c>
      <c r="AA21" s="26">
        <f>ROUND(SUM(AA15:AA20),5)</f>
        <v>327000</v>
      </c>
      <c r="AC21" s="66">
        <f t="shared" ref="AC21:AE21" si="18">ROUND(SUM(AC15:AC20),5)</f>
        <v>332594.81800000003</v>
      </c>
      <c r="AD21" s="66">
        <f t="shared" si="18"/>
        <v>405457.35</v>
      </c>
      <c r="AE21" s="66">
        <f t="shared" si="18"/>
        <v>255579</v>
      </c>
      <c r="AG21" s="66">
        <f t="shared" ref="AG21:AI21" si="19">ROUND(SUM(AG15:AG20),5)</f>
        <v>-194514.818</v>
      </c>
      <c r="AH21" s="66">
        <f t="shared" si="19"/>
        <v>-267377.34999999998</v>
      </c>
      <c r="AI21" s="66">
        <f t="shared" si="19"/>
        <v>-117499</v>
      </c>
      <c r="AK21" s="66"/>
      <c r="AL21" s="66"/>
      <c r="AM21" s="66"/>
    </row>
    <row r="22" spans="1:39" s="5" customFormat="1" x14ac:dyDescent="0.2">
      <c r="A22" s="64"/>
      <c r="B22" s="64"/>
      <c r="C22" s="64"/>
      <c r="D22" s="64"/>
      <c r="E22" s="64"/>
      <c r="F22" s="64" t="s">
        <v>39</v>
      </c>
      <c r="G22" s="64"/>
      <c r="H22" s="66"/>
      <c r="I22" s="66"/>
      <c r="J22" s="66"/>
      <c r="K22" s="66"/>
      <c r="L22" s="66"/>
      <c r="M22" s="66"/>
      <c r="N22" s="66"/>
      <c r="O22" s="66"/>
      <c r="P22" s="66"/>
      <c r="Q22" s="66"/>
      <c r="R22" s="66"/>
      <c r="S22" s="26"/>
      <c r="T22" s="26"/>
      <c r="U22" s="26"/>
      <c r="V22" s="26"/>
      <c r="W22" s="26"/>
      <c r="X22" s="26"/>
      <c r="Y22" s="26"/>
      <c r="AA22" s="26"/>
      <c r="AC22" s="66"/>
      <c r="AD22" s="66"/>
      <c r="AE22" s="66"/>
      <c r="AG22" s="66"/>
      <c r="AH22" s="66"/>
      <c r="AI22" s="66"/>
      <c r="AK22" s="66"/>
      <c r="AL22" s="66"/>
      <c r="AM22" s="66"/>
    </row>
    <row r="23" spans="1:39" s="5" customFormat="1" x14ac:dyDescent="0.2">
      <c r="A23" s="64"/>
      <c r="B23" s="64"/>
      <c r="C23" s="64"/>
      <c r="D23" s="64"/>
      <c r="E23" s="64"/>
      <c r="F23" s="64"/>
      <c r="G23" s="64" t="s">
        <v>40</v>
      </c>
      <c r="H23" s="66"/>
      <c r="I23" s="66">
        <v>254415</v>
      </c>
      <c r="J23" s="66"/>
      <c r="K23" s="66">
        <v>266622</v>
      </c>
      <c r="L23" s="66"/>
      <c r="M23" s="66">
        <v>270431</v>
      </c>
      <c r="N23" s="66"/>
      <c r="O23" s="66">
        <v>274598.71000000002</v>
      </c>
      <c r="P23" s="66"/>
      <c r="Q23" s="66">
        <v>285640</v>
      </c>
      <c r="R23" s="66"/>
      <c r="S23" s="26">
        <v>293826</v>
      </c>
      <c r="T23" s="26"/>
      <c r="U23" s="26"/>
      <c r="V23" s="26"/>
      <c r="W23" s="26">
        <v>279945</v>
      </c>
      <c r="X23" s="26"/>
      <c r="Y23" s="26">
        <v>320000</v>
      </c>
      <c r="AA23" s="26">
        <v>320000</v>
      </c>
      <c r="AC23" s="66">
        <f t="shared" ref="AC23:AC25" si="20">AVERAGE(K23:S23)</f>
        <v>278223.54200000002</v>
      </c>
      <c r="AD23" s="66">
        <f>MAX(K23:S23)</f>
        <v>293826</v>
      </c>
      <c r="AE23" s="66">
        <f>MIN(K23:S23)</f>
        <v>266622</v>
      </c>
      <c r="AG23" s="66">
        <f t="shared" ref="AG23:AG25" si="21">+W23-AC23</f>
        <v>1721.4579999999842</v>
      </c>
      <c r="AH23" s="66">
        <f t="shared" ref="AH23:AH25" si="22">+W23-AD23</f>
        <v>-13881</v>
      </c>
      <c r="AI23" s="66">
        <f t="shared" ref="AI23:AI25" si="23">+W23-AE23</f>
        <v>13323</v>
      </c>
      <c r="AK23" s="66">
        <f t="shared" ref="AK23:AK25" si="24">+Y23-AC23</f>
        <v>41776.457999999984</v>
      </c>
      <c r="AL23" s="66">
        <f t="shared" ref="AL23:AL25" si="25">+Y23-AD23</f>
        <v>26174</v>
      </c>
      <c r="AM23" s="66">
        <f t="shared" ref="AM23:AM25" si="26">+Y23-AE23</f>
        <v>53378</v>
      </c>
    </row>
    <row r="24" spans="1:39" s="5" customFormat="1" x14ac:dyDescent="0.2">
      <c r="A24" s="64"/>
      <c r="B24" s="64"/>
      <c r="C24" s="64"/>
      <c r="D24" s="64"/>
      <c r="E24" s="64"/>
      <c r="F24" s="64"/>
      <c r="G24" s="64" t="s">
        <v>41</v>
      </c>
      <c r="H24" s="66"/>
      <c r="I24" s="66">
        <v>303980</v>
      </c>
      <c r="J24" s="66"/>
      <c r="K24" s="66">
        <v>331071</v>
      </c>
      <c r="L24" s="66"/>
      <c r="M24" s="66">
        <v>325491</v>
      </c>
      <c r="N24" s="66"/>
      <c r="O24" s="66">
        <v>344710.13</v>
      </c>
      <c r="P24" s="66"/>
      <c r="Q24" s="66">
        <v>257379.9</v>
      </c>
      <c r="R24" s="66"/>
      <c r="S24" s="26">
        <v>364899.94</v>
      </c>
      <c r="T24" s="26"/>
      <c r="U24" s="26"/>
      <c r="V24" s="26"/>
      <c r="W24" s="26">
        <v>424731.7</v>
      </c>
      <c r="X24" s="26"/>
      <c r="Y24" s="26">
        <v>435000</v>
      </c>
      <c r="AA24" s="26">
        <v>435000</v>
      </c>
      <c r="AC24" s="66">
        <f t="shared" si="20"/>
        <v>324710.39399999997</v>
      </c>
      <c r="AD24" s="66">
        <f>MAX(K24:S24)</f>
        <v>364899.94</v>
      </c>
      <c r="AE24" s="66">
        <f>MIN(K24:S24)</f>
        <v>257379.9</v>
      </c>
      <c r="AG24" s="66">
        <f t="shared" si="21"/>
        <v>100021.30600000004</v>
      </c>
      <c r="AH24" s="66">
        <f t="shared" si="22"/>
        <v>59831.760000000009</v>
      </c>
      <c r="AI24" s="66">
        <f t="shared" si="23"/>
        <v>167351.80000000002</v>
      </c>
      <c r="AK24" s="66">
        <f t="shared" si="24"/>
        <v>110289.60600000003</v>
      </c>
      <c r="AL24" s="66">
        <f t="shared" si="25"/>
        <v>70100.06</v>
      </c>
      <c r="AM24" s="66">
        <f t="shared" si="26"/>
        <v>177620.1</v>
      </c>
    </row>
    <row r="25" spans="1:39" s="5" customFormat="1" ht="12" thickBot="1" x14ac:dyDescent="0.25">
      <c r="A25" s="64"/>
      <c r="B25" s="64"/>
      <c r="C25" s="64"/>
      <c r="D25" s="64"/>
      <c r="E25" s="64"/>
      <c r="F25" s="64"/>
      <c r="G25" s="64" t="s">
        <v>42</v>
      </c>
      <c r="H25" s="66"/>
      <c r="I25" s="71">
        <v>182345</v>
      </c>
      <c r="J25" s="66"/>
      <c r="K25" s="71">
        <v>228941</v>
      </c>
      <c r="L25" s="66"/>
      <c r="M25" s="71">
        <v>220681</v>
      </c>
      <c r="N25" s="66"/>
      <c r="O25" s="71">
        <v>182668.11</v>
      </c>
      <c r="P25" s="71"/>
      <c r="Q25" s="71">
        <v>327524.28999999998</v>
      </c>
      <c r="R25" s="71"/>
      <c r="S25" s="35">
        <v>344650.32</v>
      </c>
      <c r="T25" s="29"/>
      <c r="U25" s="29"/>
      <c r="V25" s="26"/>
      <c r="W25" s="35">
        <v>284097.58</v>
      </c>
      <c r="X25" s="26"/>
      <c r="Y25" s="35">
        <v>440000</v>
      </c>
      <c r="AA25" s="35">
        <v>440000</v>
      </c>
      <c r="AC25" s="71">
        <f t="shared" si="20"/>
        <v>260892.94399999999</v>
      </c>
      <c r="AD25" s="71">
        <f>MAX(K25:S25)</f>
        <v>344650.32</v>
      </c>
      <c r="AE25" s="71">
        <f>MIN(K25:S25)</f>
        <v>182668.11</v>
      </c>
      <c r="AG25" s="71">
        <f t="shared" si="21"/>
        <v>23204.636000000028</v>
      </c>
      <c r="AH25" s="71">
        <f t="shared" si="22"/>
        <v>-60552.739999999991</v>
      </c>
      <c r="AI25" s="71">
        <f t="shared" si="23"/>
        <v>101429.47000000003</v>
      </c>
      <c r="AK25" s="71">
        <f t="shared" si="24"/>
        <v>179107.05600000001</v>
      </c>
      <c r="AL25" s="71">
        <f t="shared" si="25"/>
        <v>95349.68</v>
      </c>
      <c r="AM25" s="71">
        <f t="shared" si="26"/>
        <v>257331.89</v>
      </c>
    </row>
    <row r="26" spans="1:39" s="5" customFormat="1" x14ac:dyDescent="0.2">
      <c r="A26" s="64"/>
      <c r="B26" s="64"/>
      <c r="C26" s="64"/>
      <c r="D26" s="64"/>
      <c r="E26" s="64"/>
      <c r="F26" s="64" t="s">
        <v>43</v>
      </c>
      <c r="G26" s="64"/>
      <c r="H26" s="66"/>
      <c r="I26" s="66">
        <f>ROUND(SUM(I22:I25),5)</f>
        <v>740740</v>
      </c>
      <c r="J26" s="66"/>
      <c r="K26" s="66">
        <f>ROUND(SUM(K22:K25),5)</f>
        <v>826634</v>
      </c>
      <c r="L26" s="66"/>
      <c r="M26" s="66">
        <f>ROUND(SUM(M22:M25),5)</f>
        <v>816603</v>
      </c>
      <c r="N26" s="66"/>
      <c r="O26" s="66">
        <f>ROUND(SUM(O22:O25),5)</f>
        <v>801976.95</v>
      </c>
      <c r="P26" s="66"/>
      <c r="Q26" s="66">
        <f>ROUND(SUM(Q22:Q25),5)</f>
        <v>870544.19</v>
      </c>
      <c r="R26" s="66"/>
      <c r="S26" s="26">
        <f>ROUND(SUM(S22:S25),5)</f>
        <v>1003376.26</v>
      </c>
      <c r="T26" s="26"/>
      <c r="U26" s="26"/>
      <c r="V26" s="26"/>
      <c r="W26" s="26">
        <f>ROUND(SUM(W22:W25),5)</f>
        <v>988774.28</v>
      </c>
      <c r="X26" s="26"/>
      <c r="Y26" s="26">
        <f>ROUND(SUM(Y22:Y25),5)</f>
        <v>1195000</v>
      </c>
      <c r="AA26" s="26">
        <f>ROUND(SUM(AA22:AA25),5)</f>
        <v>1195000</v>
      </c>
      <c r="AC26" s="66">
        <f t="shared" ref="AC26:AE26" si="27">ROUND(SUM(AC22:AC25),5)</f>
        <v>863826.88</v>
      </c>
      <c r="AD26" s="66">
        <f t="shared" si="27"/>
        <v>1003376.26</v>
      </c>
      <c r="AE26" s="66">
        <f t="shared" si="27"/>
        <v>706670.01</v>
      </c>
      <c r="AG26" s="66">
        <f t="shared" ref="AG26:AI26" si="28">ROUND(SUM(AG22:AG25),5)</f>
        <v>124947.4</v>
      </c>
      <c r="AH26" s="66">
        <f t="shared" si="28"/>
        <v>-14601.98</v>
      </c>
      <c r="AI26" s="66">
        <f t="shared" si="28"/>
        <v>282104.27</v>
      </c>
      <c r="AK26" s="66"/>
      <c r="AL26" s="66"/>
      <c r="AM26" s="66"/>
    </row>
    <row r="27" spans="1:39" s="5" customFormat="1" x14ac:dyDescent="0.2">
      <c r="A27" s="64"/>
      <c r="B27" s="64"/>
      <c r="C27" s="64"/>
      <c r="D27" s="64"/>
      <c r="E27" s="64"/>
      <c r="F27" s="64" t="s">
        <v>44</v>
      </c>
      <c r="G27" s="64"/>
      <c r="H27" s="66"/>
      <c r="I27" s="66"/>
      <c r="J27" s="66"/>
      <c r="K27" s="66"/>
      <c r="L27" s="66"/>
      <c r="M27" s="66"/>
      <c r="N27" s="66"/>
      <c r="O27" s="66"/>
      <c r="P27" s="66"/>
      <c r="Q27" s="66"/>
      <c r="R27" s="66"/>
      <c r="S27" s="26"/>
      <c r="T27" s="26"/>
      <c r="U27" s="26"/>
      <c r="V27" s="26"/>
      <c r="W27" s="26"/>
      <c r="X27" s="26"/>
      <c r="Y27" s="26"/>
      <c r="AA27" s="26"/>
      <c r="AC27" s="66"/>
      <c r="AD27" s="66"/>
      <c r="AE27" s="66"/>
      <c r="AG27" s="66"/>
      <c r="AH27" s="66"/>
      <c r="AI27" s="66"/>
      <c r="AK27" s="66"/>
      <c r="AL27" s="66"/>
      <c r="AM27" s="66"/>
    </row>
    <row r="28" spans="1:39" s="5" customFormat="1" x14ac:dyDescent="0.2">
      <c r="A28" s="64"/>
      <c r="B28" s="64"/>
      <c r="C28" s="64"/>
      <c r="D28" s="64"/>
      <c r="E28" s="64"/>
      <c r="F28" s="64"/>
      <c r="G28" s="64" t="s">
        <v>45</v>
      </c>
      <c r="H28" s="66"/>
      <c r="I28" s="66">
        <v>295226</v>
      </c>
      <c r="J28" s="66"/>
      <c r="K28" s="66">
        <v>386141</v>
      </c>
      <c r="L28" s="66"/>
      <c r="M28" s="66">
        <v>363570</v>
      </c>
      <c r="N28" s="66"/>
      <c r="O28" s="66">
        <v>484621.34</v>
      </c>
      <c r="P28" s="66"/>
      <c r="Q28" s="66">
        <v>560337.82999999996</v>
      </c>
      <c r="R28" s="66"/>
      <c r="S28" s="26">
        <v>269650.57</v>
      </c>
      <c r="T28" s="26"/>
      <c r="U28" s="26"/>
      <c r="V28" s="26"/>
      <c r="W28" s="26">
        <v>167806.41</v>
      </c>
      <c r="X28" s="26"/>
      <c r="Y28" s="26">
        <v>330000</v>
      </c>
      <c r="AA28" s="26">
        <v>300000</v>
      </c>
      <c r="AC28" s="66">
        <f t="shared" ref="AC28:AC30" si="29">AVERAGE(K28:S28)</f>
        <v>412864.14799999999</v>
      </c>
      <c r="AD28" s="66">
        <f>MAX(K28:S28)</f>
        <v>560337.82999999996</v>
      </c>
      <c r="AE28" s="66">
        <f>MIN(K28:S28)</f>
        <v>269650.57</v>
      </c>
      <c r="AG28" s="66">
        <f t="shared" ref="AG28:AG30" si="30">+W28-AC28</f>
        <v>-245057.73799999998</v>
      </c>
      <c r="AH28" s="66">
        <f t="shared" ref="AH28:AH30" si="31">+W28-AD28</f>
        <v>-392531.41999999993</v>
      </c>
      <c r="AI28" s="66">
        <f t="shared" ref="AI28:AI30" si="32">+W28-AE28</f>
        <v>-101844.16</v>
      </c>
      <c r="AK28" s="66">
        <f t="shared" ref="AK28:AK30" si="33">+Y28-AC28</f>
        <v>-82864.147999999986</v>
      </c>
      <c r="AL28" s="66">
        <f t="shared" ref="AL28:AL30" si="34">+Y28-AD28</f>
        <v>-230337.82999999996</v>
      </c>
      <c r="AM28" s="66">
        <f t="shared" ref="AM28:AM30" si="35">+Y28-AE28</f>
        <v>60349.429999999993</v>
      </c>
    </row>
    <row r="29" spans="1:39" s="5" customFormat="1" x14ac:dyDescent="0.2">
      <c r="A29" s="64"/>
      <c r="B29" s="64"/>
      <c r="C29" s="64"/>
      <c r="D29" s="64"/>
      <c r="E29" s="64"/>
      <c r="F29" s="64"/>
      <c r="G29" s="64" t="s">
        <v>46</v>
      </c>
      <c r="H29" s="66"/>
      <c r="I29" s="66">
        <v>14510</v>
      </c>
      <c r="J29" s="66"/>
      <c r="K29" s="66">
        <v>12680</v>
      </c>
      <c r="L29" s="66"/>
      <c r="M29" s="66">
        <v>8510</v>
      </c>
      <c r="N29" s="66"/>
      <c r="O29" s="66">
        <v>18517.7</v>
      </c>
      <c r="P29" s="66"/>
      <c r="Q29" s="66">
        <v>21124</v>
      </c>
      <c r="R29" s="66"/>
      <c r="S29" s="26">
        <v>20662.150000000001</v>
      </c>
      <c r="T29" s="26"/>
      <c r="U29" s="26"/>
      <c r="V29" s="26"/>
      <c r="W29" s="26">
        <v>36210</v>
      </c>
      <c r="X29" s="26"/>
      <c r="Y29" s="26">
        <v>21500</v>
      </c>
      <c r="AA29" s="26">
        <v>35000</v>
      </c>
      <c r="AC29" s="66">
        <f t="shared" si="29"/>
        <v>16298.77</v>
      </c>
      <c r="AD29" s="66">
        <f>MAX(K29:S29)</f>
        <v>21124</v>
      </c>
      <c r="AE29" s="66">
        <f>MIN(K29:S29)</f>
        <v>8510</v>
      </c>
      <c r="AG29" s="66">
        <f t="shared" si="30"/>
        <v>19911.23</v>
      </c>
      <c r="AH29" s="66">
        <f t="shared" si="31"/>
        <v>15086</v>
      </c>
      <c r="AI29" s="66">
        <f t="shared" si="32"/>
        <v>27700</v>
      </c>
      <c r="AK29" s="66">
        <f t="shared" si="33"/>
        <v>5201.2299999999996</v>
      </c>
      <c r="AL29" s="66">
        <f t="shared" si="34"/>
        <v>376</v>
      </c>
      <c r="AM29" s="66">
        <f t="shared" si="35"/>
        <v>12990</v>
      </c>
    </row>
    <row r="30" spans="1:39" s="5" customFormat="1" ht="12" thickBot="1" x14ac:dyDescent="0.25">
      <c r="A30" s="64"/>
      <c r="B30" s="64"/>
      <c r="C30" s="64"/>
      <c r="D30" s="64"/>
      <c r="E30" s="64"/>
      <c r="F30" s="64"/>
      <c r="G30" s="64" t="s">
        <v>47</v>
      </c>
      <c r="H30" s="66"/>
      <c r="I30" s="69">
        <v>26730</v>
      </c>
      <c r="J30" s="66"/>
      <c r="K30" s="69">
        <v>31912</v>
      </c>
      <c r="L30" s="66"/>
      <c r="M30" s="69">
        <v>28139</v>
      </c>
      <c r="N30" s="66"/>
      <c r="O30" s="69">
        <v>30543.7</v>
      </c>
      <c r="P30" s="69"/>
      <c r="Q30" s="66">
        <v>24565</v>
      </c>
      <c r="R30" s="66"/>
      <c r="S30" s="29">
        <v>19770</v>
      </c>
      <c r="T30" s="29"/>
      <c r="U30" s="29"/>
      <c r="V30" s="26"/>
      <c r="W30" s="29">
        <v>18460</v>
      </c>
      <c r="X30" s="26"/>
      <c r="Y30" s="29">
        <v>20000</v>
      </c>
      <c r="AA30" s="29">
        <v>20000</v>
      </c>
      <c r="AC30" s="69">
        <f t="shared" si="29"/>
        <v>26985.940000000002</v>
      </c>
      <c r="AD30" s="69">
        <f>MAX(K30:S30)</f>
        <v>31912</v>
      </c>
      <c r="AE30" s="69">
        <f>MIN(K30:S30)</f>
        <v>19770</v>
      </c>
      <c r="AG30" s="69">
        <f t="shared" si="30"/>
        <v>-8525.9400000000023</v>
      </c>
      <c r="AH30" s="69">
        <f t="shared" si="31"/>
        <v>-13452</v>
      </c>
      <c r="AI30" s="69">
        <f t="shared" si="32"/>
        <v>-1310</v>
      </c>
      <c r="AK30" s="69">
        <f t="shared" si="33"/>
        <v>-6985.9400000000023</v>
      </c>
      <c r="AL30" s="69">
        <f t="shared" si="34"/>
        <v>-11912</v>
      </c>
      <c r="AM30" s="69">
        <f t="shared" si="35"/>
        <v>230</v>
      </c>
    </row>
    <row r="31" spans="1:39" s="5" customFormat="1" ht="12" thickBot="1" x14ac:dyDescent="0.25">
      <c r="A31" s="64"/>
      <c r="B31" s="64"/>
      <c r="C31" s="64"/>
      <c r="D31" s="64"/>
      <c r="E31" s="64"/>
      <c r="F31" s="64" t="s">
        <v>48</v>
      </c>
      <c r="G31" s="64"/>
      <c r="H31" s="66"/>
      <c r="I31" s="70">
        <f>ROUND(SUM(I27:I30),5)</f>
        <v>336466</v>
      </c>
      <c r="J31" s="66"/>
      <c r="K31" s="70">
        <f>ROUND(SUM(K27:K30),5)</f>
        <v>430733</v>
      </c>
      <c r="L31" s="66"/>
      <c r="M31" s="70">
        <f>ROUND(SUM(M27:M30),5)</f>
        <v>400219</v>
      </c>
      <c r="N31" s="66"/>
      <c r="O31" s="70">
        <f>ROUND(SUM(O27:O30),5)</f>
        <v>533682.74</v>
      </c>
      <c r="P31" s="70"/>
      <c r="Q31" s="70">
        <f>ROUND(SUM(Q27:Q30),5)</f>
        <v>606026.82999999996</v>
      </c>
      <c r="R31" s="70"/>
      <c r="S31" s="32">
        <f>ROUND(SUM(S27:S30),5)</f>
        <v>310082.71999999997</v>
      </c>
      <c r="T31" s="29"/>
      <c r="U31" s="29"/>
      <c r="V31" s="26"/>
      <c r="W31" s="32">
        <f>ROUND(SUM(W27:W30),5)</f>
        <v>222476.41</v>
      </c>
      <c r="X31" s="26"/>
      <c r="Y31" s="32">
        <f>ROUND(SUM(Y27:Y30),5)</f>
        <v>371500</v>
      </c>
      <c r="AA31" s="32">
        <f>ROUND(SUM(AA27:AA30),5)</f>
        <v>355000</v>
      </c>
      <c r="AC31" s="70">
        <f t="shared" ref="AC31:AE31" si="36">ROUND(SUM(AC27:AC30),5)</f>
        <v>456148.85800000001</v>
      </c>
      <c r="AD31" s="70">
        <f t="shared" si="36"/>
        <v>613373.82999999996</v>
      </c>
      <c r="AE31" s="70">
        <f t="shared" si="36"/>
        <v>297930.57</v>
      </c>
      <c r="AG31" s="70">
        <f t="shared" ref="AG31:AI31" si="37">ROUND(SUM(AG27:AG30),5)</f>
        <v>-233672.448</v>
      </c>
      <c r="AH31" s="70">
        <f t="shared" si="37"/>
        <v>-390897.42</v>
      </c>
      <c r="AI31" s="70">
        <f t="shared" si="37"/>
        <v>-75454.16</v>
      </c>
      <c r="AK31" s="70"/>
      <c r="AL31" s="70"/>
      <c r="AM31" s="70"/>
    </row>
    <row r="32" spans="1:39" s="5" customFormat="1" x14ac:dyDescent="0.2">
      <c r="A32" s="64"/>
      <c r="B32" s="64"/>
      <c r="C32" s="64"/>
      <c r="D32" s="64"/>
      <c r="E32" s="64" t="s">
        <v>49</v>
      </c>
      <c r="F32" s="64"/>
      <c r="G32" s="64"/>
      <c r="H32" s="66"/>
      <c r="I32" s="66">
        <f>ROUND(I14+I21+I26+I31,5)</f>
        <v>1388523</v>
      </c>
      <c r="J32" s="66"/>
      <c r="K32" s="66">
        <f>ROUND(K14+K21+K26+K31,5)</f>
        <v>1651436</v>
      </c>
      <c r="L32" s="66"/>
      <c r="M32" s="66">
        <f>ROUND(M14+M21+M26+M31,5)</f>
        <v>1587845</v>
      </c>
      <c r="N32" s="66"/>
      <c r="O32" s="66">
        <f>ROUND(O14+O21+O26+O31,5)</f>
        <v>1646124.38</v>
      </c>
      <c r="P32" s="66"/>
      <c r="Q32" s="66">
        <f>ROUND(Q14+Q21+Q26+Q31,5)</f>
        <v>1807909.42</v>
      </c>
      <c r="R32" s="66"/>
      <c r="S32" s="26">
        <f>ROUND(S14+S21+S26+S31,5)</f>
        <v>1569537.98</v>
      </c>
      <c r="T32" s="26"/>
      <c r="U32" s="26"/>
      <c r="V32" s="26"/>
      <c r="W32" s="26">
        <f>ROUND(W14+W21+W26+W31,5)</f>
        <v>1349330.69</v>
      </c>
      <c r="X32" s="26"/>
      <c r="Y32" s="26">
        <f>ROUND(Y14+Y21+Y26+Y31,5)</f>
        <v>1900000</v>
      </c>
      <c r="AA32" s="26">
        <f>ROUND(AA14+AA21+AA26+AA31,5)</f>
        <v>1877000</v>
      </c>
      <c r="AC32" s="66">
        <f t="shared" ref="AC32:AE32" si="38">ROUND(AC14+AC21+AC26+AC31,5)</f>
        <v>1652570.5560000001</v>
      </c>
      <c r="AD32" s="66">
        <f t="shared" si="38"/>
        <v>2022207.44</v>
      </c>
      <c r="AE32" s="66">
        <f t="shared" si="38"/>
        <v>1260179.58</v>
      </c>
      <c r="AG32" s="66">
        <f t="shared" ref="AG32:AI32" si="39">ROUND(AG14+AG21+AG26+AG31,5)</f>
        <v>-303239.86599999998</v>
      </c>
      <c r="AH32" s="66">
        <f t="shared" si="39"/>
        <v>-672876.75</v>
      </c>
      <c r="AI32" s="66">
        <f t="shared" si="39"/>
        <v>89151.11</v>
      </c>
      <c r="AK32" s="66"/>
      <c r="AL32" s="66"/>
      <c r="AM32" s="66"/>
    </row>
    <row r="33" spans="1:39" s="5" customFormat="1" x14ac:dyDescent="0.2">
      <c r="A33" s="64"/>
      <c r="B33" s="64"/>
      <c r="C33" s="64"/>
      <c r="D33" s="64"/>
      <c r="E33" s="64" t="s">
        <v>50</v>
      </c>
      <c r="F33" s="64"/>
      <c r="G33" s="64"/>
      <c r="H33" s="66"/>
      <c r="I33" s="66"/>
      <c r="J33" s="66"/>
      <c r="K33" s="66"/>
      <c r="L33" s="66"/>
      <c r="M33" s="66"/>
      <c r="N33" s="66"/>
      <c r="O33" s="66"/>
      <c r="P33" s="66"/>
      <c r="Q33" s="66"/>
      <c r="R33" s="66"/>
      <c r="S33" s="26"/>
      <c r="T33" s="26"/>
      <c r="U33" s="26"/>
      <c r="V33" s="26"/>
      <c r="W33" s="26"/>
      <c r="X33" s="26"/>
      <c r="Y33" s="26"/>
      <c r="AA33" s="26"/>
      <c r="AC33" s="66"/>
      <c r="AD33" s="66"/>
      <c r="AE33" s="66"/>
      <c r="AG33" s="66"/>
      <c r="AH33" s="66"/>
      <c r="AI33" s="66"/>
      <c r="AK33" s="66"/>
      <c r="AL33" s="66"/>
      <c r="AM33" s="66"/>
    </row>
    <row r="34" spans="1:39" s="5" customFormat="1" x14ac:dyDescent="0.2">
      <c r="A34" s="64"/>
      <c r="B34" s="64"/>
      <c r="C34" s="64"/>
      <c r="D34" s="64"/>
      <c r="E34" s="64"/>
      <c r="F34" s="64" t="s">
        <v>51</v>
      </c>
      <c r="G34" s="64"/>
      <c r="H34" s="66"/>
      <c r="I34" s="66"/>
      <c r="J34" s="66"/>
      <c r="K34" s="66"/>
      <c r="L34" s="66"/>
      <c r="M34" s="66"/>
      <c r="N34" s="66"/>
      <c r="O34" s="66"/>
      <c r="P34" s="66"/>
      <c r="Q34" s="66"/>
      <c r="R34" s="66"/>
      <c r="S34" s="26"/>
      <c r="T34" s="26"/>
      <c r="U34" s="26"/>
      <c r="V34" s="26"/>
      <c r="W34" s="26"/>
      <c r="X34" s="26"/>
      <c r="Y34" s="26"/>
      <c r="AA34" s="26"/>
      <c r="AC34" s="66"/>
      <c r="AD34" s="66"/>
      <c r="AE34" s="66"/>
      <c r="AG34" s="66"/>
      <c r="AH34" s="66"/>
      <c r="AI34" s="66"/>
      <c r="AK34" s="66"/>
      <c r="AL34" s="66"/>
      <c r="AM34" s="66"/>
    </row>
    <row r="35" spans="1:39" s="5" customFormat="1" x14ac:dyDescent="0.2">
      <c r="A35" s="64"/>
      <c r="B35" s="64"/>
      <c r="C35" s="64"/>
      <c r="D35" s="64"/>
      <c r="E35" s="64"/>
      <c r="F35" s="64"/>
      <c r="G35" s="68" t="s">
        <v>52</v>
      </c>
      <c r="H35" s="66"/>
      <c r="I35" s="66">
        <v>284400</v>
      </c>
      <c r="J35" s="66"/>
      <c r="K35" s="66">
        <v>254894</v>
      </c>
      <c r="L35" s="66"/>
      <c r="M35" s="66">
        <v>246030</v>
      </c>
      <c r="N35" s="66"/>
      <c r="O35" s="66">
        <v>256491.94</v>
      </c>
      <c r="P35" s="66"/>
      <c r="Q35" s="66">
        <v>221361.87</v>
      </c>
      <c r="R35" s="66"/>
      <c r="S35" s="26">
        <v>245494.38</v>
      </c>
      <c r="T35" s="26"/>
      <c r="U35" s="26"/>
      <c r="V35" s="26"/>
      <c r="W35" s="26">
        <v>106156.32</v>
      </c>
      <c r="X35" s="26"/>
      <c r="Y35" s="26">
        <v>250000</v>
      </c>
      <c r="AA35" s="26">
        <v>255000</v>
      </c>
      <c r="AC35" s="66">
        <f t="shared" ref="AC35:AC37" si="40">AVERAGE(K35:S35)</f>
        <v>244854.43799999999</v>
      </c>
      <c r="AD35" s="66">
        <f>MAX(K35:S35)</f>
        <v>256491.94</v>
      </c>
      <c r="AE35" s="66">
        <f>MIN(K35:S35)</f>
        <v>221361.87</v>
      </c>
      <c r="AG35" s="66">
        <f t="shared" ref="AG35:AG37" si="41">+W35-AC35</f>
        <v>-138698.11799999999</v>
      </c>
      <c r="AH35" s="66">
        <f t="shared" ref="AH35:AH37" si="42">+W35-AD35</f>
        <v>-150335.62</v>
      </c>
      <c r="AI35" s="66">
        <f t="shared" ref="AI35:AI37" si="43">+W35-AE35</f>
        <v>-115205.54999999999</v>
      </c>
      <c r="AK35" s="66">
        <f t="shared" ref="AK35:AK37" si="44">+Y35-AC35</f>
        <v>5145.5620000000054</v>
      </c>
      <c r="AL35" s="66">
        <f t="shared" ref="AL35:AL37" si="45">+Y35-AD35</f>
        <v>-6491.9400000000023</v>
      </c>
      <c r="AM35" s="66">
        <f t="shared" ref="AM35:AM37" si="46">+Y35-AE35</f>
        <v>28638.130000000005</v>
      </c>
    </row>
    <row r="36" spans="1:39" s="5" customFormat="1" x14ac:dyDescent="0.2">
      <c r="A36" s="64"/>
      <c r="B36" s="64"/>
      <c r="C36" s="64"/>
      <c r="D36" s="64"/>
      <c r="E36" s="64"/>
      <c r="F36" s="64"/>
      <c r="G36" s="64" t="s">
        <v>53</v>
      </c>
      <c r="H36" s="66"/>
      <c r="I36" s="66">
        <v>30680</v>
      </c>
      <c r="J36" s="66"/>
      <c r="K36" s="66">
        <v>33981</v>
      </c>
      <c r="L36" s="66"/>
      <c r="M36" s="66">
        <v>22642</v>
      </c>
      <c r="N36" s="66"/>
      <c r="O36" s="66">
        <v>8837.2199999999993</v>
      </c>
      <c r="P36" s="66"/>
      <c r="Q36" s="66">
        <v>23996.09</v>
      </c>
      <c r="R36" s="66"/>
      <c r="S36" s="26">
        <v>6911.71</v>
      </c>
      <c r="T36" s="26"/>
      <c r="U36" s="26"/>
      <c r="V36" s="26"/>
      <c r="W36" s="26">
        <v>3354.73</v>
      </c>
      <c r="X36" s="26"/>
      <c r="Y36" s="26">
        <v>8000</v>
      </c>
      <c r="AA36" s="26">
        <v>0</v>
      </c>
      <c r="AC36" s="66">
        <f t="shared" si="40"/>
        <v>19273.603999999999</v>
      </c>
      <c r="AD36" s="66">
        <f>MAX(K36:S36)</f>
        <v>33981</v>
      </c>
      <c r="AE36" s="66">
        <f>MIN(K36:S36)</f>
        <v>6911.71</v>
      </c>
      <c r="AG36" s="66">
        <f t="shared" si="41"/>
        <v>-15918.874</v>
      </c>
      <c r="AH36" s="66">
        <f t="shared" si="42"/>
        <v>-30626.27</v>
      </c>
      <c r="AI36" s="66">
        <f t="shared" si="43"/>
        <v>-3556.98</v>
      </c>
      <c r="AK36" s="66">
        <f t="shared" si="44"/>
        <v>-11273.603999999999</v>
      </c>
      <c r="AL36" s="66">
        <f t="shared" si="45"/>
        <v>-25981</v>
      </c>
      <c r="AM36" s="66">
        <f t="shared" si="46"/>
        <v>1088.29</v>
      </c>
    </row>
    <row r="37" spans="1:39" s="5" customFormat="1" ht="12" thickBot="1" x14ac:dyDescent="0.25">
      <c r="A37" s="64"/>
      <c r="B37" s="64"/>
      <c r="C37" s="64"/>
      <c r="D37" s="64"/>
      <c r="E37" s="64"/>
      <c r="F37" s="64"/>
      <c r="G37" s="68" t="s">
        <v>54</v>
      </c>
      <c r="H37" s="66"/>
      <c r="I37" s="71">
        <v>2790</v>
      </c>
      <c r="J37" s="66"/>
      <c r="K37" s="71">
        <v>1820</v>
      </c>
      <c r="L37" s="66"/>
      <c r="M37" s="71">
        <v>30</v>
      </c>
      <c r="N37" s="66"/>
      <c r="O37" s="71">
        <v>0</v>
      </c>
      <c r="P37" s="71"/>
      <c r="Q37" s="71">
        <v>0</v>
      </c>
      <c r="R37" s="71"/>
      <c r="S37" s="35">
        <v>0</v>
      </c>
      <c r="T37" s="29"/>
      <c r="U37" s="29"/>
      <c r="V37" s="26"/>
      <c r="W37" s="35">
        <v>0</v>
      </c>
      <c r="X37" s="26"/>
      <c r="Y37" s="35">
        <v>0</v>
      </c>
      <c r="AA37" s="35"/>
      <c r="AC37" s="71">
        <f t="shared" si="40"/>
        <v>370</v>
      </c>
      <c r="AD37" s="71">
        <f>MAX(K37:S37)</f>
        <v>1820</v>
      </c>
      <c r="AE37" s="71">
        <f>MIN(K37:S37)</f>
        <v>0</v>
      </c>
      <c r="AG37" s="71">
        <f t="shared" si="41"/>
        <v>-370</v>
      </c>
      <c r="AH37" s="71">
        <f t="shared" si="42"/>
        <v>-1820</v>
      </c>
      <c r="AI37" s="71">
        <f t="shared" si="43"/>
        <v>0</v>
      </c>
      <c r="AK37" s="71">
        <f t="shared" si="44"/>
        <v>-370</v>
      </c>
      <c r="AL37" s="71">
        <f t="shared" si="45"/>
        <v>-1820</v>
      </c>
      <c r="AM37" s="71">
        <f t="shared" si="46"/>
        <v>0</v>
      </c>
    </row>
    <row r="38" spans="1:39" s="5" customFormat="1" x14ac:dyDescent="0.2">
      <c r="A38" s="64"/>
      <c r="B38" s="64"/>
      <c r="C38" s="64"/>
      <c r="D38" s="64"/>
      <c r="E38" s="64"/>
      <c r="F38" s="64" t="s">
        <v>55</v>
      </c>
      <c r="G38" s="64"/>
      <c r="H38" s="66"/>
      <c r="I38" s="66">
        <f>ROUND(SUM(I34:I37),5)</f>
        <v>317870</v>
      </c>
      <c r="J38" s="66"/>
      <c r="K38" s="66">
        <f>ROUND(SUM(K34:K37),5)</f>
        <v>290695</v>
      </c>
      <c r="L38" s="66"/>
      <c r="M38" s="66">
        <f>ROUND(SUM(M34:M37),5)</f>
        <v>268702</v>
      </c>
      <c r="N38" s="66"/>
      <c r="O38" s="66">
        <f>ROUND(SUM(O34:O37),5)</f>
        <v>265329.15999999997</v>
      </c>
      <c r="P38" s="66"/>
      <c r="Q38" s="66">
        <f>ROUND(SUM(Q34:Q37),5)</f>
        <v>245357.96</v>
      </c>
      <c r="R38" s="66"/>
      <c r="S38" s="26">
        <f>ROUND(SUM(S34:S37),5)</f>
        <v>252406.09</v>
      </c>
      <c r="T38" s="26"/>
      <c r="U38" s="26"/>
      <c r="V38" s="26"/>
      <c r="W38" s="26">
        <f>ROUND(SUM(W34:W37),5)</f>
        <v>109511.05</v>
      </c>
      <c r="X38" s="26"/>
      <c r="Y38" s="26">
        <f>ROUND(SUM(Y34:Y37),5)</f>
        <v>258000</v>
      </c>
      <c r="AA38" s="26">
        <f>ROUND(SUM(AA34:AA37),5)</f>
        <v>255000</v>
      </c>
      <c r="AC38" s="66">
        <f t="shared" ref="AC38:AE38" si="47">ROUND(SUM(AC34:AC37),5)</f>
        <v>264498.04200000002</v>
      </c>
      <c r="AD38" s="66">
        <f t="shared" si="47"/>
        <v>292292.94</v>
      </c>
      <c r="AE38" s="66">
        <f t="shared" si="47"/>
        <v>228273.58</v>
      </c>
      <c r="AG38" s="66">
        <f t="shared" ref="AG38:AI38" si="48">ROUND(SUM(AG34:AG37),5)</f>
        <v>-154986.992</v>
      </c>
      <c r="AH38" s="66">
        <f t="shared" si="48"/>
        <v>-182781.89</v>
      </c>
      <c r="AI38" s="66">
        <f t="shared" si="48"/>
        <v>-118762.53</v>
      </c>
      <c r="AK38" s="66"/>
      <c r="AL38" s="66"/>
      <c r="AM38" s="66"/>
    </row>
    <row r="39" spans="1:39" s="5" customFormat="1" x14ac:dyDescent="0.2">
      <c r="A39" s="64"/>
      <c r="B39" s="64"/>
      <c r="C39" s="64"/>
      <c r="D39" s="64"/>
      <c r="E39" s="64"/>
      <c r="F39" s="64" t="s">
        <v>56</v>
      </c>
      <c r="G39" s="64"/>
      <c r="H39" s="66"/>
      <c r="I39" s="66"/>
      <c r="J39" s="66"/>
      <c r="K39" s="66"/>
      <c r="L39" s="66"/>
      <c r="M39" s="66"/>
      <c r="N39" s="66"/>
      <c r="O39" s="66"/>
      <c r="P39" s="66"/>
      <c r="Q39" s="66"/>
      <c r="R39" s="66"/>
      <c r="S39" s="26"/>
      <c r="T39" s="26"/>
      <c r="U39" s="26"/>
      <c r="V39" s="26"/>
      <c r="W39" s="26"/>
      <c r="X39" s="26"/>
      <c r="Y39" s="26"/>
      <c r="AA39" s="26"/>
      <c r="AC39" s="66"/>
      <c r="AD39" s="66"/>
      <c r="AE39" s="66"/>
      <c r="AG39" s="66"/>
      <c r="AH39" s="66"/>
      <c r="AI39" s="66"/>
      <c r="AK39" s="66"/>
      <c r="AL39" s="66"/>
      <c r="AM39" s="66"/>
    </row>
    <row r="40" spans="1:39" s="5" customFormat="1" x14ac:dyDescent="0.2">
      <c r="A40" s="64"/>
      <c r="B40" s="64"/>
      <c r="C40" s="64"/>
      <c r="D40" s="64"/>
      <c r="E40" s="64"/>
      <c r="F40" s="64"/>
      <c r="G40" s="68" t="s">
        <v>57</v>
      </c>
      <c r="H40" s="66"/>
      <c r="I40" s="66">
        <v>95754</v>
      </c>
      <c r="J40" s="66"/>
      <c r="K40" s="66">
        <v>89658</v>
      </c>
      <c r="L40" s="66"/>
      <c r="M40" s="66">
        <v>89975</v>
      </c>
      <c r="N40" s="66"/>
      <c r="O40" s="66">
        <v>80857.58</v>
      </c>
      <c r="P40" s="66"/>
      <c r="Q40" s="66">
        <v>69290.350000000006</v>
      </c>
      <c r="R40" s="66"/>
      <c r="S40" s="26">
        <v>50464.67</v>
      </c>
      <c r="T40" s="26"/>
      <c r="U40" s="26"/>
      <c r="V40" s="26"/>
      <c r="W40" s="26">
        <v>46038.8</v>
      </c>
      <c r="X40" s="26"/>
      <c r="Y40" s="26">
        <v>70000</v>
      </c>
      <c r="AA40" s="26">
        <v>70000</v>
      </c>
      <c r="AC40" s="66">
        <f t="shared" ref="AC40:AC45" si="49">AVERAGE(K40:S40)</f>
        <v>76049.12000000001</v>
      </c>
      <c r="AD40" s="66">
        <f t="shared" ref="AD40:AD45" si="50">MAX(K40:S40)</f>
        <v>89975</v>
      </c>
      <c r="AE40" s="66">
        <f t="shared" ref="AE40:AE45" si="51">MIN(K40:S40)</f>
        <v>50464.67</v>
      </c>
      <c r="AG40" s="66">
        <f t="shared" ref="AG40:AG45" si="52">+W40-AC40</f>
        <v>-30010.320000000007</v>
      </c>
      <c r="AH40" s="66">
        <f t="shared" ref="AH40:AH45" si="53">+W40-AD40</f>
        <v>-43936.2</v>
      </c>
      <c r="AI40" s="66">
        <f t="shared" ref="AI40:AI45" si="54">+W40-AE40</f>
        <v>-4425.8699999999953</v>
      </c>
      <c r="AK40" s="66">
        <f t="shared" ref="AK40:AK45" si="55">+Y40-AC40</f>
        <v>-6049.1200000000099</v>
      </c>
      <c r="AL40" s="66">
        <f t="shared" ref="AL40:AL45" si="56">+Y40-AD40</f>
        <v>-19975</v>
      </c>
      <c r="AM40" s="66">
        <f t="shared" ref="AM40:AM45" si="57">+Y40-AE40</f>
        <v>19535.330000000002</v>
      </c>
    </row>
    <row r="41" spans="1:39" s="5" customFormat="1" x14ac:dyDescent="0.2">
      <c r="A41" s="64"/>
      <c r="B41" s="64"/>
      <c r="C41" s="64"/>
      <c r="D41" s="64"/>
      <c r="E41" s="64"/>
      <c r="F41" s="64"/>
      <c r="G41" s="68" t="s">
        <v>58</v>
      </c>
      <c r="H41" s="66"/>
      <c r="I41" s="66">
        <v>21087</v>
      </c>
      <c r="J41" s="66"/>
      <c r="K41" s="66">
        <v>17438</v>
      </c>
      <c r="L41" s="66"/>
      <c r="M41" s="66">
        <v>40343</v>
      </c>
      <c r="N41" s="66"/>
      <c r="O41" s="66">
        <v>19912.830000000002</v>
      </c>
      <c r="P41" s="66"/>
      <c r="Q41" s="66">
        <v>13208.75</v>
      </c>
      <c r="R41" s="66"/>
      <c r="S41" s="26">
        <v>9236.32</v>
      </c>
      <c r="T41" s="26"/>
      <c r="U41" s="26"/>
      <c r="V41" s="26"/>
      <c r="W41" s="26">
        <v>7986.09</v>
      </c>
      <c r="X41" s="26"/>
      <c r="Y41" s="26">
        <v>15000</v>
      </c>
      <c r="AA41" s="26">
        <v>15000</v>
      </c>
      <c r="AC41" s="66">
        <f t="shared" si="49"/>
        <v>20027.78</v>
      </c>
      <c r="AD41" s="66">
        <f t="shared" si="50"/>
        <v>40343</v>
      </c>
      <c r="AE41" s="66">
        <f t="shared" si="51"/>
        <v>9236.32</v>
      </c>
      <c r="AG41" s="66">
        <f t="shared" si="52"/>
        <v>-12041.689999999999</v>
      </c>
      <c r="AH41" s="66">
        <f t="shared" si="53"/>
        <v>-32356.91</v>
      </c>
      <c r="AI41" s="66">
        <f t="shared" si="54"/>
        <v>-1250.2299999999996</v>
      </c>
      <c r="AK41" s="66">
        <f t="shared" si="55"/>
        <v>-5027.7799999999988</v>
      </c>
      <c r="AL41" s="66">
        <f t="shared" si="56"/>
        <v>-25343</v>
      </c>
      <c r="AM41" s="66">
        <f t="shared" si="57"/>
        <v>5763.68</v>
      </c>
    </row>
    <row r="42" spans="1:39" s="5" customFormat="1" x14ac:dyDescent="0.2">
      <c r="A42" s="64"/>
      <c r="B42" s="64"/>
      <c r="C42" s="64"/>
      <c r="D42" s="64"/>
      <c r="E42" s="64"/>
      <c r="F42" s="64"/>
      <c r="G42" s="68" t="s">
        <v>59</v>
      </c>
      <c r="H42" s="66"/>
      <c r="I42" s="66">
        <v>6750</v>
      </c>
      <c r="J42" s="66"/>
      <c r="K42" s="66">
        <v>5893</v>
      </c>
      <c r="L42" s="66"/>
      <c r="M42" s="66">
        <v>3330</v>
      </c>
      <c r="N42" s="66"/>
      <c r="O42" s="66">
        <v>1580</v>
      </c>
      <c r="P42" s="66"/>
      <c r="Q42" s="66">
        <v>900</v>
      </c>
      <c r="R42" s="66"/>
      <c r="S42" s="26">
        <v>540</v>
      </c>
      <c r="T42" s="26"/>
      <c r="U42" s="26"/>
      <c r="V42" s="26"/>
      <c r="W42" s="26">
        <v>0</v>
      </c>
      <c r="X42" s="26"/>
      <c r="Y42" s="26">
        <v>750</v>
      </c>
      <c r="AA42" s="26">
        <v>0</v>
      </c>
      <c r="AC42" s="66">
        <f t="shared" si="49"/>
        <v>2448.6</v>
      </c>
      <c r="AD42" s="66">
        <f t="shared" si="50"/>
        <v>5893</v>
      </c>
      <c r="AE42" s="66">
        <f t="shared" si="51"/>
        <v>540</v>
      </c>
      <c r="AG42" s="66">
        <f t="shared" si="52"/>
        <v>-2448.6</v>
      </c>
      <c r="AH42" s="66">
        <f t="shared" si="53"/>
        <v>-5893</v>
      </c>
      <c r="AI42" s="66">
        <f t="shared" si="54"/>
        <v>-540</v>
      </c>
      <c r="AK42" s="66">
        <f t="shared" si="55"/>
        <v>-1698.6</v>
      </c>
      <c r="AL42" s="66">
        <f t="shared" si="56"/>
        <v>-5143</v>
      </c>
      <c r="AM42" s="66">
        <f t="shared" si="57"/>
        <v>210</v>
      </c>
    </row>
    <row r="43" spans="1:39" s="5" customFormat="1" x14ac:dyDescent="0.2">
      <c r="A43" s="64"/>
      <c r="B43" s="64"/>
      <c r="C43" s="64"/>
      <c r="D43" s="64"/>
      <c r="E43" s="64"/>
      <c r="F43" s="64"/>
      <c r="G43" s="64" t="s">
        <v>60</v>
      </c>
      <c r="H43" s="66"/>
      <c r="I43" s="66">
        <v>108</v>
      </c>
      <c r="J43" s="66"/>
      <c r="K43" s="66">
        <v>488</v>
      </c>
      <c r="L43" s="66"/>
      <c r="M43" s="66">
        <v>1840</v>
      </c>
      <c r="N43" s="66"/>
      <c r="O43" s="66">
        <v>6174.9</v>
      </c>
      <c r="P43" s="66"/>
      <c r="Q43" s="66">
        <v>474.12</v>
      </c>
      <c r="R43" s="66"/>
      <c r="S43" s="26">
        <v>1674.17</v>
      </c>
      <c r="T43" s="26"/>
      <c r="U43" s="26"/>
      <c r="V43" s="26"/>
      <c r="W43" s="26">
        <v>929.13</v>
      </c>
      <c r="X43" s="26"/>
      <c r="Y43" s="26">
        <v>500</v>
      </c>
      <c r="AA43" s="26">
        <v>750</v>
      </c>
      <c r="AC43" s="66">
        <f t="shared" si="49"/>
        <v>2130.2380000000003</v>
      </c>
      <c r="AD43" s="66">
        <f t="shared" si="50"/>
        <v>6174.9</v>
      </c>
      <c r="AE43" s="66">
        <f t="shared" si="51"/>
        <v>474.12</v>
      </c>
      <c r="AG43" s="66">
        <f t="shared" si="52"/>
        <v>-1201.1080000000002</v>
      </c>
      <c r="AH43" s="66">
        <f t="shared" si="53"/>
        <v>-5245.7699999999995</v>
      </c>
      <c r="AI43" s="66">
        <f t="shared" si="54"/>
        <v>455.01</v>
      </c>
      <c r="AK43" s="66">
        <f t="shared" si="55"/>
        <v>-1630.2380000000003</v>
      </c>
      <c r="AL43" s="66">
        <f t="shared" si="56"/>
        <v>-5674.9</v>
      </c>
      <c r="AM43" s="66">
        <f t="shared" si="57"/>
        <v>25.879999999999995</v>
      </c>
    </row>
    <row r="44" spans="1:39" s="5" customFormat="1" x14ac:dyDescent="0.2">
      <c r="A44" s="64"/>
      <c r="B44" s="64"/>
      <c r="C44" s="64"/>
      <c r="D44" s="64"/>
      <c r="E44" s="64"/>
      <c r="F44" s="64"/>
      <c r="G44" s="64" t="s">
        <v>61</v>
      </c>
      <c r="H44" s="66"/>
      <c r="I44" s="66"/>
      <c r="J44" s="66"/>
      <c r="K44" s="66"/>
      <c r="L44" s="66"/>
      <c r="M44" s="66">
        <v>937</v>
      </c>
      <c r="N44" s="66"/>
      <c r="O44" s="66">
        <v>1171.75</v>
      </c>
      <c r="P44" s="66"/>
      <c r="Q44" s="66">
        <v>2385.5</v>
      </c>
      <c r="R44" s="66"/>
      <c r="S44" s="26">
        <v>1319.85</v>
      </c>
      <c r="T44" s="26"/>
      <c r="U44" s="26"/>
      <c r="V44" s="26"/>
      <c r="W44" s="26">
        <v>1675.5</v>
      </c>
      <c r="X44" s="26"/>
      <c r="Y44" s="26">
        <v>1200</v>
      </c>
      <c r="AA44" s="26">
        <v>2500</v>
      </c>
      <c r="AC44" s="66">
        <f t="shared" si="49"/>
        <v>1453.5250000000001</v>
      </c>
      <c r="AD44" s="66">
        <f t="shared" si="50"/>
        <v>2385.5</v>
      </c>
      <c r="AE44" s="66">
        <f t="shared" si="51"/>
        <v>937</v>
      </c>
      <c r="AG44" s="66">
        <f t="shared" si="52"/>
        <v>221.97499999999991</v>
      </c>
      <c r="AH44" s="66">
        <f t="shared" si="53"/>
        <v>-710</v>
      </c>
      <c r="AI44" s="66">
        <f t="shared" si="54"/>
        <v>738.5</v>
      </c>
      <c r="AK44" s="66">
        <f t="shared" si="55"/>
        <v>-253.52500000000009</v>
      </c>
      <c r="AL44" s="66">
        <f t="shared" si="56"/>
        <v>-1185.5</v>
      </c>
      <c r="AM44" s="66">
        <f t="shared" si="57"/>
        <v>263</v>
      </c>
    </row>
    <row r="45" spans="1:39" s="5" customFormat="1" ht="12" thickBot="1" x14ac:dyDescent="0.25">
      <c r="A45" s="64"/>
      <c r="B45" s="64"/>
      <c r="C45" s="64"/>
      <c r="D45" s="64"/>
      <c r="E45" s="64"/>
      <c r="F45" s="64"/>
      <c r="G45" s="64" t="s">
        <v>62</v>
      </c>
      <c r="H45" s="66"/>
      <c r="I45" s="66">
        <v>4043</v>
      </c>
      <c r="J45" s="66"/>
      <c r="K45" s="66">
        <v>2342</v>
      </c>
      <c r="L45" s="66"/>
      <c r="M45" s="66">
        <v>3169</v>
      </c>
      <c r="N45" s="66"/>
      <c r="O45" s="66">
        <v>2061.34</v>
      </c>
      <c r="P45" s="66"/>
      <c r="Q45" s="66">
        <v>3106.5</v>
      </c>
      <c r="R45" s="66"/>
      <c r="S45" s="26">
        <v>1686.4</v>
      </c>
      <c r="T45" s="26"/>
      <c r="U45" s="26"/>
      <c r="V45" s="26"/>
      <c r="W45" s="26">
        <v>494.5</v>
      </c>
      <c r="X45" s="26"/>
      <c r="Y45" s="26">
        <v>2000</v>
      </c>
      <c r="AA45" s="26"/>
      <c r="AC45" s="66">
        <f t="shared" si="49"/>
        <v>2473.0479999999998</v>
      </c>
      <c r="AD45" s="66">
        <f t="shared" si="50"/>
        <v>3169</v>
      </c>
      <c r="AE45" s="66">
        <f t="shared" si="51"/>
        <v>1686.4</v>
      </c>
      <c r="AG45" s="66">
        <f t="shared" si="52"/>
        <v>-1978.5479999999998</v>
      </c>
      <c r="AH45" s="66">
        <f t="shared" si="53"/>
        <v>-2674.5</v>
      </c>
      <c r="AI45" s="66">
        <f t="shared" si="54"/>
        <v>-1191.9000000000001</v>
      </c>
      <c r="AK45" s="66">
        <f t="shared" si="55"/>
        <v>-473.04799999999977</v>
      </c>
      <c r="AL45" s="66">
        <f t="shared" si="56"/>
        <v>-1169</v>
      </c>
      <c r="AM45" s="66">
        <f t="shared" si="57"/>
        <v>313.59999999999991</v>
      </c>
    </row>
    <row r="46" spans="1:39" s="5" customFormat="1" ht="12" thickBot="1" x14ac:dyDescent="0.25">
      <c r="A46" s="64"/>
      <c r="B46" s="64"/>
      <c r="C46" s="64"/>
      <c r="D46" s="64"/>
      <c r="E46" s="64"/>
      <c r="F46" s="64" t="s">
        <v>63</v>
      </c>
      <c r="G46" s="64"/>
      <c r="H46" s="66"/>
      <c r="I46" s="70">
        <f>ROUND(SUM(I39:I45),5)</f>
        <v>127742</v>
      </c>
      <c r="J46" s="66"/>
      <c r="K46" s="70">
        <f>ROUND(SUM(K39:K45),5)</f>
        <v>115819</v>
      </c>
      <c r="L46" s="66"/>
      <c r="M46" s="70">
        <f>ROUND(SUM(M39:M45),5)</f>
        <v>139594</v>
      </c>
      <c r="N46" s="66"/>
      <c r="O46" s="70">
        <f>ROUND(SUM(O39:O45),5)</f>
        <v>111758.39999999999</v>
      </c>
      <c r="P46" s="70"/>
      <c r="Q46" s="70">
        <f>ROUND(SUM(Q39:Q45),5)</f>
        <v>89365.22</v>
      </c>
      <c r="R46" s="70"/>
      <c r="S46" s="32">
        <f>ROUND(SUM(S39:S45),5)</f>
        <v>64921.41</v>
      </c>
      <c r="T46" s="29"/>
      <c r="U46" s="29"/>
      <c r="V46" s="26"/>
      <c r="W46" s="32">
        <f>ROUND(SUM(W39:W45),5)</f>
        <v>57124.02</v>
      </c>
      <c r="X46" s="26"/>
      <c r="Y46" s="32">
        <f>ROUND(SUM(Y39:Y45),5)</f>
        <v>89450</v>
      </c>
      <c r="AA46" s="32">
        <f>ROUND(SUM(AA39:AA45),5)</f>
        <v>88250</v>
      </c>
      <c r="AC46" s="70">
        <f t="shared" ref="AC46:AE46" si="58">ROUND(SUM(AC39:AC45),5)</f>
        <v>104582.311</v>
      </c>
      <c r="AD46" s="70">
        <f t="shared" si="58"/>
        <v>147940.4</v>
      </c>
      <c r="AE46" s="70">
        <f t="shared" si="58"/>
        <v>63338.51</v>
      </c>
      <c r="AG46" s="70">
        <f t="shared" ref="AG46:AI46" si="59">ROUND(SUM(AG39:AG45),5)</f>
        <v>-47458.290999999997</v>
      </c>
      <c r="AH46" s="70">
        <f t="shared" si="59"/>
        <v>-90816.38</v>
      </c>
      <c r="AI46" s="70">
        <f t="shared" si="59"/>
        <v>-6214.49</v>
      </c>
      <c r="AK46" s="70"/>
      <c r="AL46" s="70"/>
      <c r="AM46" s="70"/>
    </row>
    <row r="47" spans="1:39" s="5" customFormat="1" x14ac:dyDescent="0.2">
      <c r="A47" s="64"/>
      <c r="B47" s="64"/>
      <c r="C47" s="64"/>
      <c r="D47" s="64"/>
      <c r="E47" s="64" t="s">
        <v>64</v>
      </c>
      <c r="F47" s="64"/>
      <c r="G47" s="64"/>
      <c r="H47" s="66"/>
      <c r="I47" s="66">
        <f>ROUND(I33+I38+I46,5)</f>
        <v>445612</v>
      </c>
      <c r="J47" s="66"/>
      <c r="K47" s="66">
        <f>ROUND(K33+K38+K46,5)</f>
        <v>406514</v>
      </c>
      <c r="L47" s="66"/>
      <c r="M47" s="66">
        <f>ROUND(M33+M38+M46,5)</f>
        <v>408296</v>
      </c>
      <c r="N47" s="66"/>
      <c r="O47" s="66">
        <f>ROUND(O33+O38+O46,5)</f>
        <v>377087.56</v>
      </c>
      <c r="P47" s="66"/>
      <c r="Q47" s="66">
        <f>ROUND(Q33+Q38+Q46,5)</f>
        <v>334723.18</v>
      </c>
      <c r="R47" s="66"/>
      <c r="S47" s="26">
        <f>ROUND(S33+S38+S46,5)</f>
        <v>317327.5</v>
      </c>
      <c r="T47" s="26"/>
      <c r="U47" s="26"/>
      <c r="V47" s="26"/>
      <c r="W47" s="26">
        <f>ROUND(W33+W38+W46,5)</f>
        <v>166635.07</v>
      </c>
      <c r="X47" s="26"/>
      <c r="Y47" s="26">
        <f>ROUND(Y33+Y38+Y46,5)</f>
        <v>347450</v>
      </c>
      <c r="AA47" s="26">
        <f>ROUND(AA33+AA38+AA46,5)</f>
        <v>343250</v>
      </c>
      <c r="AC47" s="66">
        <f>ROUND(AC33+AC38+AC46,5)</f>
        <v>369080.353</v>
      </c>
      <c r="AD47" s="66">
        <f t="shared" ref="AD47:AE47" si="60">ROUND(AD33+AD38+AD46,5)</f>
        <v>440233.34</v>
      </c>
      <c r="AE47" s="66">
        <f t="shared" si="60"/>
        <v>291612.09000000003</v>
      </c>
      <c r="AG47" s="66">
        <f>ROUND(AG33+AG38+AG46,5)</f>
        <v>-202445.283</v>
      </c>
      <c r="AH47" s="66">
        <f t="shared" ref="AH47:AI47" si="61">ROUND(AH33+AH38+AH46,5)</f>
        <v>-273598.27</v>
      </c>
      <c r="AI47" s="66">
        <f t="shared" si="61"/>
        <v>-124977.02</v>
      </c>
      <c r="AK47" s="66"/>
      <c r="AL47" s="66"/>
      <c r="AM47" s="66"/>
    </row>
    <row r="48" spans="1:39" s="5" customFormat="1" x14ac:dyDescent="0.2">
      <c r="A48" s="64"/>
      <c r="B48" s="64"/>
      <c r="C48" s="64"/>
      <c r="D48" s="64"/>
      <c r="E48" s="64" t="s">
        <v>65</v>
      </c>
      <c r="F48" s="64"/>
      <c r="G48" s="64"/>
      <c r="H48" s="66"/>
      <c r="I48" s="66"/>
      <c r="J48" s="66"/>
      <c r="K48" s="66"/>
      <c r="L48" s="66"/>
      <c r="M48" s="66"/>
      <c r="N48" s="66"/>
      <c r="O48" s="66"/>
      <c r="P48" s="66"/>
      <c r="Q48" s="66"/>
      <c r="R48" s="66"/>
      <c r="S48" s="26"/>
      <c r="T48" s="26"/>
      <c r="U48" s="26"/>
      <c r="V48" s="26"/>
      <c r="W48" s="26"/>
      <c r="X48" s="26"/>
      <c r="Y48" s="26"/>
      <c r="AA48" s="26"/>
      <c r="AC48" s="66"/>
      <c r="AD48" s="66"/>
      <c r="AE48" s="66"/>
      <c r="AG48" s="66"/>
      <c r="AH48" s="66"/>
      <c r="AI48" s="66"/>
      <c r="AK48" s="66"/>
      <c r="AL48" s="66"/>
      <c r="AM48" s="66"/>
    </row>
    <row r="49" spans="1:39" s="5" customFormat="1" x14ac:dyDescent="0.2">
      <c r="A49" s="64"/>
      <c r="B49" s="64"/>
      <c r="C49" s="64"/>
      <c r="D49" s="64"/>
      <c r="E49" s="64"/>
      <c r="F49" s="68" t="s">
        <v>66</v>
      </c>
      <c r="G49" s="64"/>
      <c r="H49" s="66"/>
      <c r="I49" s="66">
        <v>1000</v>
      </c>
      <c r="J49" s="66"/>
      <c r="K49" s="66">
        <v>3000</v>
      </c>
      <c r="L49" s="66"/>
      <c r="M49" s="66">
        <v>2250</v>
      </c>
      <c r="N49" s="66"/>
      <c r="O49" s="66">
        <v>1250</v>
      </c>
      <c r="P49" s="66"/>
      <c r="Q49" s="66">
        <v>4050</v>
      </c>
      <c r="R49" s="66"/>
      <c r="S49" s="26">
        <v>2250</v>
      </c>
      <c r="T49" s="26"/>
      <c r="U49" s="26"/>
      <c r="V49" s="26"/>
      <c r="W49" s="26">
        <v>-500</v>
      </c>
      <c r="X49" s="26"/>
      <c r="Y49" s="26">
        <v>2300</v>
      </c>
      <c r="AA49" s="26">
        <v>1500</v>
      </c>
      <c r="AC49" s="66">
        <f t="shared" ref="AC49:AC59" si="62">AVERAGE(K49:S49)</f>
        <v>2560</v>
      </c>
      <c r="AD49" s="66">
        <f t="shared" ref="AD49:AD59" si="63">MAX(K49:S49)</f>
        <v>4050</v>
      </c>
      <c r="AE49" s="66">
        <f t="shared" ref="AE49:AE59" si="64">MIN(K49:S49)</f>
        <v>1250</v>
      </c>
      <c r="AG49" s="66">
        <f t="shared" ref="AG49:AG59" si="65">+W49-AC49</f>
        <v>-3060</v>
      </c>
      <c r="AH49" s="66">
        <f t="shared" ref="AH49:AH59" si="66">+W49-AD49</f>
        <v>-4550</v>
      </c>
      <c r="AI49" s="66">
        <f t="shared" ref="AI49:AI59" si="67">+W49-AE49</f>
        <v>-1750</v>
      </c>
      <c r="AK49" s="66">
        <f t="shared" ref="AK49:AK59" si="68">+Y49-AC49</f>
        <v>-260</v>
      </c>
      <c r="AL49" s="66">
        <f t="shared" ref="AL49:AL59" si="69">+Y49-AD49</f>
        <v>-1750</v>
      </c>
      <c r="AM49" s="66">
        <f t="shared" ref="AM49:AM59" si="70">+Y49-AE49</f>
        <v>1050</v>
      </c>
    </row>
    <row r="50" spans="1:39" s="5" customFormat="1" x14ac:dyDescent="0.2">
      <c r="A50" s="64"/>
      <c r="B50" s="64"/>
      <c r="C50" s="64"/>
      <c r="D50" s="64"/>
      <c r="E50" s="64"/>
      <c r="F50" s="64" t="s">
        <v>67</v>
      </c>
      <c r="G50" s="64"/>
      <c r="H50" s="66"/>
      <c r="I50" s="66">
        <v>4034</v>
      </c>
      <c r="J50" s="66"/>
      <c r="K50" s="66">
        <v>262</v>
      </c>
      <c r="L50" s="66"/>
      <c r="M50" s="66">
        <v>35405</v>
      </c>
      <c r="N50" s="66"/>
      <c r="O50" s="66">
        <v>3448.77</v>
      </c>
      <c r="P50" s="66"/>
      <c r="Q50" s="66">
        <v>443.8</v>
      </c>
      <c r="R50" s="66"/>
      <c r="S50" s="26">
        <v>180876.23</v>
      </c>
      <c r="T50" s="26"/>
      <c r="U50" s="26"/>
      <c r="V50" s="26"/>
      <c r="W50" s="26">
        <v>2300</v>
      </c>
      <c r="X50" s="26"/>
      <c r="Y50" s="26">
        <v>18500</v>
      </c>
      <c r="AA50" s="26"/>
      <c r="AC50" s="66">
        <f t="shared" si="62"/>
        <v>44087.16</v>
      </c>
      <c r="AD50" s="66">
        <f t="shared" si="63"/>
        <v>180876.23</v>
      </c>
      <c r="AE50" s="66">
        <f t="shared" si="64"/>
        <v>262</v>
      </c>
      <c r="AG50" s="66">
        <f t="shared" si="65"/>
        <v>-41787.160000000003</v>
      </c>
      <c r="AH50" s="66">
        <f t="shared" si="66"/>
        <v>-178576.23</v>
      </c>
      <c r="AI50" s="66">
        <f t="shared" si="67"/>
        <v>2038</v>
      </c>
      <c r="AK50" s="66">
        <f t="shared" si="68"/>
        <v>-25587.160000000003</v>
      </c>
      <c r="AL50" s="66">
        <f t="shared" si="69"/>
        <v>-162376.23000000001</v>
      </c>
      <c r="AM50" s="66">
        <f t="shared" si="70"/>
        <v>18238</v>
      </c>
    </row>
    <row r="51" spans="1:39" s="5" customFormat="1" x14ac:dyDescent="0.2">
      <c r="A51" s="64"/>
      <c r="B51" s="64"/>
      <c r="C51" s="64"/>
      <c r="D51" s="64"/>
      <c r="E51" s="64"/>
      <c r="F51" s="64" t="s">
        <v>68</v>
      </c>
      <c r="G51" s="64"/>
      <c r="H51" s="66"/>
      <c r="I51" s="66">
        <v>298</v>
      </c>
      <c r="J51" s="66"/>
      <c r="K51" s="66">
        <v>892</v>
      </c>
      <c r="L51" s="66"/>
      <c r="M51" s="66">
        <v>851</v>
      </c>
      <c r="N51" s="66"/>
      <c r="O51" s="66">
        <v>1012.42</v>
      </c>
      <c r="P51" s="66"/>
      <c r="Q51" s="66">
        <v>18109.07</v>
      </c>
      <c r="R51" s="66"/>
      <c r="S51" s="26">
        <v>48299.64</v>
      </c>
      <c r="T51" s="26"/>
      <c r="U51" s="26"/>
      <c r="V51" s="26"/>
      <c r="W51" s="26">
        <v>2266</v>
      </c>
      <c r="X51" s="26"/>
      <c r="Y51" s="26">
        <v>10000</v>
      </c>
      <c r="AA51" s="26">
        <v>2000</v>
      </c>
      <c r="AC51" s="66">
        <f t="shared" si="62"/>
        <v>13832.826000000001</v>
      </c>
      <c r="AD51" s="66">
        <f t="shared" si="63"/>
        <v>48299.64</v>
      </c>
      <c r="AE51" s="66">
        <f t="shared" si="64"/>
        <v>851</v>
      </c>
      <c r="AG51" s="66">
        <f t="shared" si="65"/>
        <v>-11566.826000000001</v>
      </c>
      <c r="AH51" s="66">
        <f t="shared" si="66"/>
        <v>-46033.64</v>
      </c>
      <c r="AI51" s="66">
        <f t="shared" si="67"/>
        <v>1415</v>
      </c>
      <c r="AK51" s="66">
        <f t="shared" si="68"/>
        <v>-3832.8260000000009</v>
      </c>
      <c r="AL51" s="66">
        <f t="shared" si="69"/>
        <v>-38299.64</v>
      </c>
      <c r="AM51" s="66">
        <f t="shared" si="70"/>
        <v>9149</v>
      </c>
    </row>
    <row r="52" spans="1:39" s="5" customFormat="1" x14ac:dyDescent="0.2">
      <c r="A52" s="64"/>
      <c r="B52" s="64"/>
      <c r="C52" s="64"/>
      <c r="D52" s="64"/>
      <c r="E52" s="64"/>
      <c r="F52" s="64" t="s">
        <v>69</v>
      </c>
      <c r="G52" s="64"/>
      <c r="H52" s="66"/>
      <c r="I52" s="66">
        <v>21</v>
      </c>
      <c r="J52" s="66"/>
      <c r="K52" s="66">
        <v>82</v>
      </c>
      <c r="L52" s="66"/>
      <c r="M52" s="66">
        <v>133</v>
      </c>
      <c r="N52" s="66"/>
      <c r="O52" s="66">
        <v>59</v>
      </c>
      <c r="P52" s="66"/>
      <c r="Q52" s="66">
        <v>0</v>
      </c>
      <c r="R52" s="66"/>
      <c r="S52" s="26">
        <v>0</v>
      </c>
      <c r="T52" s="26"/>
      <c r="U52" s="26"/>
      <c r="V52" s="26"/>
      <c r="W52" s="26">
        <v>0</v>
      </c>
      <c r="X52" s="26"/>
      <c r="Y52" s="26">
        <v>0</v>
      </c>
      <c r="AA52" s="26">
        <v>0</v>
      </c>
      <c r="AC52" s="66">
        <f t="shared" si="62"/>
        <v>54.8</v>
      </c>
      <c r="AD52" s="66">
        <f t="shared" si="63"/>
        <v>133</v>
      </c>
      <c r="AE52" s="66">
        <f t="shared" si="64"/>
        <v>0</v>
      </c>
      <c r="AG52" s="66">
        <f t="shared" si="65"/>
        <v>-54.8</v>
      </c>
      <c r="AH52" s="66">
        <f t="shared" si="66"/>
        <v>-133</v>
      </c>
      <c r="AI52" s="66">
        <f t="shared" si="67"/>
        <v>0</v>
      </c>
      <c r="AK52" s="66">
        <f t="shared" si="68"/>
        <v>-54.8</v>
      </c>
      <c r="AL52" s="66">
        <f t="shared" si="69"/>
        <v>-133</v>
      </c>
      <c r="AM52" s="66">
        <f t="shared" si="70"/>
        <v>0</v>
      </c>
    </row>
    <row r="53" spans="1:39" s="5" customFormat="1" x14ac:dyDescent="0.2">
      <c r="A53" s="64"/>
      <c r="B53" s="64"/>
      <c r="C53" s="64"/>
      <c r="D53" s="64"/>
      <c r="E53" s="64"/>
      <c r="F53" s="64" t="s">
        <v>70</v>
      </c>
      <c r="G53" s="64"/>
      <c r="H53" s="66"/>
      <c r="I53" s="66"/>
      <c r="J53" s="66"/>
      <c r="K53" s="66"/>
      <c r="L53" s="66"/>
      <c r="M53" s="66"/>
      <c r="N53" s="66"/>
      <c r="O53" s="66"/>
      <c r="P53" s="66"/>
      <c r="Q53" s="66">
        <v>57.62</v>
      </c>
      <c r="R53" s="66"/>
      <c r="S53" s="26">
        <v>150</v>
      </c>
      <c r="T53" s="26"/>
      <c r="U53" s="26"/>
      <c r="V53" s="26"/>
      <c r="W53" s="26">
        <v>4000.4</v>
      </c>
      <c r="X53" s="26"/>
      <c r="Y53" s="26">
        <v>0</v>
      </c>
      <c r="AA53" s="26"/>
      <c r="AC53" s="66">
        <f t="shared" si="62"/>
        <v>103.81</v>
      </c>
      <c r="AD53" s="66">
        <f t="shared" si="63"/>
        <v>150</v>
      </c>
      <c r="AE53" s="66">
        <f t="shared" si="64"/>
        <v>57.62</v>
      </c>
      <c r="AG53" s="66">
        <f t="shared" si="65"/>
        <v>3896.59</v>
      </c>
      <c r="AH53" s="66">
        <f t="shared" si="66"/>
        <v>3850.4</v>
      </c>
      <c r="AI53" s="66">
        <f t="shared" si="67"/>
        <v>3942.78</v>
      </c>
      <c r="AK53" s="66">
        <f t="shared" si="68"/>
        <v>-103.81</v>
      </c>
      <c r="AL53" s="66">
        <f t="shared" si="69"/>
        <v>-150</v>
      </c>
      <c r="AM53" s="66">
        <f t="shared" si="70"/>
        <v>-57.62</v>
      </c>
    </row>
    <row r="54" spans="1:39" s="5" customFormat="1" x14ac:dyDescent="0.2">
      <c r="A54" s="64"/>
      <c r="B54" s="64"/>
      <c r="C54" s="64"/>
      <c r="D54" s="64"/>
      <c r="E54" s="64"/>
      <c r="F54" s="64" t="s">
        <v>71</v>
      </c>
      <c r="G54" s="64"/>
      <c r="H54" s="66"/>
      <c r="I54" s="66">
        <v>3469</v>
      </c>
      <c r="J54" s="66"/>
      <c r="K54" s="66">
        <v>3440</v>
      </c>
      <c r="L54" s="66"/>
      <c r="M54" s="66"/>
      <c r="N54" s="66"/>
      <c r="O54" s="66"/>
      <c r="P54" s="66"/>
      <c r="Q54" s="66">
        <v>43355</v>
      </c>
      <c r="R54" s="66"/>
      <c r="S54" s="26">
        <v>1500</v>
      </c>
      <c r="T54" s="26"/>
      <c r="U54" s="26"/>
      <c r="V54" s="26"/>
      <c r="W54" s="26">
        <v>250</v>
      </c>
      <c r="X54" s="26"/>
      <c r="Y54" s="26">
        <v>1500</v>
      </c>
      <c r="AA54" s="26">
        <v>0</v>
      </c>
      <c r="AC54" s="66">
        <f t="shared" si="62"/>
        <v>16098.333333333334</v>
      </c>
      <c r="AD54" s="66">
        <f t="shared" si="63"/>
        <v>43355</v>
      </c>
      <c r="AE54" s="66">
        <f t="shared" si="64"/>
        <v>1500</v>
      </c>
      <c r="AG54" s="66">
        <f t="shared" si="65"/>
        <v>-15848.333333333334</v>
      </c>
      <c r="AH54" s="66">
        <f t="shared" si="66"/>
        <v>-43105</v>
      </c>
      <c r="AI54" s="66">
        <f t="shared" si="67"/>
        <v>-1250</v>
      </c>
      <c r="AK54" s="66">
        <f t="shared" si="68"/>
        <v>-14598.333333333334</v>
      </c>
      <c r="AL54" s="66">
        <f t="shared" si="69"/>
        <v>-41855</v>
      </c>
      <c r="AM54" s="66">
        <f t="shared" si="70"/>
        <v>0</v>
      </c>
    </row>
    <row r="55" spans="1:39" s="5" customFormat="1" x14ac:dyDescent="0.2">
      <c r="A55" s="64"/>
      <c r="B55" s="64"/>
      <c r="C55" s="64"/>
      <c r="D55" s="64"/>
      <c r="E55" s="64"/>
      <c r="F55" s="64" t="s">
        <v>72</v>
      </c>
      <c r="G55" s="64"/>
      <c r="H55" s="66"/>
      <c r="I55" s="66">
        <v>1156</v>
      </c>
      <c r="J55" s="66"/>
      <c r="K55" s="66">
        <v>1316</v>
      </c>
      <c r="L55" s="66"/>
      <c r="M55" s="66">
        <v>460</v>
      </c>
      <c r="N55" s="66"/>
      <c r="O55" s="66">
        <v>910</v>
      </c>
      <c r="P55" s="66"/>
      <c r="Q55" s="66">
        <v>875</v>
      </c>
      <c r="R55" s="66"/>
      <c r="S55" s="26">
        <v>750</v>
      </c>
      <c r="T55" s="26"/>
      <c r="U55" s="26"/>
      <c r="V55" s="26"/>
      <c r="W55" s="26">
        <v>625</v>
      </c>
      <c r="X55" s="26"/>
      <c r="Y55" s="26">
        <v>800</v>
      </c>
      <c r="AA55" s="26">
        <v>800</v>
      </c>
      <c r="AC55" s="66">
        <f t="shared" si="62"/>
        <v>862.2</v>
      </c>
      <c r="AD55" s="66">
        <f t="shared" si="63"/>
        <v>1316</v>
      </c>
      <c r="AE55" s="66">
        <f t="shared" si="64"/>
        <v>460</v>
      </c>
      <c r="AG55" s="66">
        <f t="shared" si="65"/>
        <v>-237.20000000000005</v>
      </c>
      <c r="AH55" s="66">
        <f t="shared" si="66"/>
        <v>-691</v>
      </c>
      <c r="AI55" s="66">
        <f t="shared" si="67"/>
        <v>165</v>
      </c>
      <c r="AK55" s="66">
        <f t="shared" si="68"/>
        <v>-62.200000000000045</v>
      </c>
      <c r="AL55" s="66">
        <f t="shared" si="69"/>
        <v>-516</v>
      </c>
      <c r="AM55" s="66">
        <f t="shared" si="70"/>
        <v>340</v>
      </c>
    </row>
    <row r="56" spans="1:39" s="5" customFormat="1" x14ac:dyDescent="0.2">
      <c r="A56" s="64"/>
      <c r="B56" s="64"/>
      <c r="C56" s="64"/>
      <c r="D56" s="64"/>
      <c r="E56" s="64"/>
      <c r="F56" s="64" t="s">
        <v>73</v>
      </c>
      <c r="G56" s="64"/>
      <c r="H56" s="66"/>
      <c r="I56" s="66">
        <v>42278</v>
      </c>
      <c r="J56" s="66"/>
      <c r="K56" s="66">
        <v>39356</v>
      </c>
      <c r="L56" s="66"/>
      <c r="M56" s="66">
        <v>30475</v>
      </c>
      <c r="N56" s="66"/>
      <c r="O56" s="66">
        <v>30715</v>
      </c>
      <c r="P56" s="66"/>
      <c r="Q56" s="66">
        <v>34924.5</v>
      </c>
      <c r="R56" s="66"/>
      <c r="S56" s="26">
        <v>39210</v>
      </c>
      <c r="T56" s="26"/>
      <c r="U56" s="26"/>
      <c r="V56" s="26"/>
      <c r="W56" s="26">
        <v>33722.5</v>
      </c>
      <c r="X56" s="26"/>
      <c r="Y56" s="26">
        <v>35500</v>
      </c>
      <c r="AA56" s="26">
        <v>30000</v>
      </c>
      <c r="AC56" s="66">
        <f t="shared" si="62"/>
        <v>34936.1</v>
      </c>
      <c r="AD56" s="66">
        <f t="shared" si="63"/>
        <v>39356</v>
      </c>
      <c r="AE56" s="66">
        <f t="shared" si="64"/>
        <v>30475</v>
      </c>
      <c r="AG56" s="66">
        <f t="shared" si="65"/>
        <v>-1213.5999999999985</v>
      </c>
      <c r="AH56" s="66">
        <f t="shared" si="66"/>
        <v>-5633.5</v>
      </c>
      <c r="AI56" s="66">
        <f t="shared" si="67"/>
        <v>3247.5</v>
      </c>
      <c r="AK56" s="66">
        <f t="shared" si="68"/>
        <v>563.90000000000146</v>
      </c>
      <c r="AL56" s="66">
        <f t="shared" si="69"/>
        <v>-3856</v>
      </c>
      <c r="AM56" s="66">
        <f t="shared" si="70"/>
        <v>5025</v>
      </c>
    </row>
    <row r="57" spans="1:39" s="5" customFormat="1" x14ac:dyDescent="0.2">
      <c r="A57" s="64"/>
      <c r="B57" s="64"/>
      <c r="C57" s="64"/>
      <c r="D57" s="64"/>
      <c r="E57" s="64"/>
      <c r="F57" s="64" t="s">
        <v>74</v>
      </c>
      <c r="G57" s="64"/>
      <c r="H57" s="66"/>
      <c r="I57" s="66">
        <v>33884</v>
      </c>
      <c r="J57" s="66"/>
      <c r="K57" s="66">
        <v>35374</v>
      </c>
      <c r="L57" s="66"/>
      <c r="M57" s="66">
        <v>35660</v>
      </c>
      <c r="N57" s="66"/>
      <c r="O57" s="66">
        <v>37214.28</v>
      </c>
      <c r="P57" s="66"/>
      <c r="Q57" s="66">
        <v>40694.1</v>
      </c>
      <c r="R57" s="66"/>
      <c r="S57" s="26">
        <v>42064</v>
      </c>
      <c r="T57" s="26"/>
      <c r="U57" s="26"/>
      <c r="V57" s="26"/>
      <c r="W57" s="26">
        <v>42214.6</v>
      </c>
      <c r="X57" s="26"/>
      <c r="Y57" s="26">
        <v>40000</v>
      </c>
      <c r="AA57" s="26">
        <v>40000</v>
      </c>
      <c r="AC57" s="66">
        <f t="shared" si="62"/>
        <v>38201.275999999998</v>
      </c>
      <c r="AD57" s="66">
        <f t="shared" si="63"/>
        <v>42064</v>
      </c>
      <c r="AE57" s="66">
        <f t="shared" si="64"/>
        <v>35374</v>
      </c>
      <c r="AG57" s="66">
        <f t="shared" si="65"/>
        <v>4013.3240000000005</v>
      </c>
      <c r="AH57" s="66">
        <f t="shared" si="66"/>
        <v>150.59999999999854</v>
      </c>
      <c r="AI57" s="66">
        <f t="shared" si="67"/>
        <v>6840.5999999999985</v>
      </c>
      <c r="AK57" s="66">
        <f t="shared" si="68"/>
        <v>1798.724000000002</v>
      </c>
      <c r="AL57" s="66">
        <f t="shared" si="69"/>
        <v>-2064</v>
      </c>
      <c r="AM57" s="66">
        <f t="shared" si="70"/>
        <v>4626</v>
      </c>
    </row>
    <row r="58" spans="1:39" s="5" customFormat="1" x14ac:dyDescent="0.2">
      <c r="A58" s="64"/>
      <c r="B58" s="64"/>
      <c r="C58" s="64"/>
      <c r="D58" s="64"/>
      <c r="E58" s="64"/>
      <c r="F58" s="64" t="s">
        <v>75</v>
      </c>
      <c r="G58" s="64"/>
      <c r="H58" s="66"/>
      <c r="I58" s="66">
        <f>60043+100</f>
        <v>60143</v>
      </c>
      <c r="J58" s="66"/>
      <c r="K58" s="66">
        <v>557</v>
      </c>
      <c r="L58" s="66"/>
      <c r="M58" s="66">
        <v>4558</v>
      </c>
      <c r="N58" s="66"/>
      <c r="O58" s="66">
        <v>20347.87</v>
      </c>
      <c r="P58" s="66"/>
      <c r="Q58" s="66">
        <v>17757.97</v>
      </c>
      <c r="R58" s="66"/>
      <c r="S58" s="26">
        <v>15456.35</v>
      </c>
      <c r="T58" s="26"/>
      <c r="U58" s="26"/>
      <c r="V58" s="26"/>
      <c r="W58" s="26">
        <v>2883.33</v>
      </c>
      <c r="X58" s="26"/>
      <c r="Y58" s="26">
        <v>7500</v>
      </c>
      <c r="AA58" s="26">
        <v>2500</v>
      </c>
      <c r="AC58" s="66">
        <f t="shared" si="62"/>
        <v>11735.437999999998</v>
      </c>
      <c r="AD58" s="66">
        <f t="shared" si="63"/>
        <v>20347.87</v>
      </c>
      <c r="AE58" s="66">
        <f t="shared" si="64"/>
        <v>557</v>
      </c>
      <c r="AG58" s="66">
        <f t="shared" si="65"/>
        <v>-8852.1079999999984</v>
      </c>
      <c r="AH58" s="66">
        <f t="shared" si="66"/>
        <v>-17464.54</v>
      </c>
      <c r="AI58" s="66">
        <f t="shared" si="67"/>
        <v>2326.33</v>
      </c>
      <c r="AK58" s="66">
        <f t="shared" si="68"/>
        <v>-4235.4379999999983</v>
      </c>
      <c r="AL58" s="66">
        <f t="shared" si="69"/>
        <v>-12847.869999999999</v>
      </c>
      <c r="AM58" s="66">
        <f t="shared" si="70"/>
        <v>6943</v>
      </c>
    </row>
    <row r="59" spans="1:39" s="5" customFormat="1" ht="12" thickBot="1" x14ac:dyDescent="0.25">
      <c r="A59" s="64"/>
      <c r="B59" s="64"/>
      <c r="C59" s="64"/>
      <c r="D59" s="64"/>
      <c r="E59" s="64"/>
      <c r="F59" s="64" t="s">
        <v>76</v>
      </c>
      <c r="G59" s="64"/>
      <c r="H59" s="66"/>
      <c r="I59" s="71"/>
      <c r="J59" s="66"/>
      <c r="K59" s="71"/>
      <c r="L59" s="66"/>
      <c r="M59" s="71"/>
      <c r="N59" s="66"/>
      <c r="O59" s="71"/>
      <c r="P59" s="71"/>
      <c r="Q59" s="71">
        <v>0</v>
      </c>
      <c r="R59" s="71"/>
      <c r="S59" s="35">
        <v>13000</v>
      </c>
      <c r="T59" s="29"/>
      <c r="U59" s="29"/>
      <c r="V59" s="26"/>
      <c r="W59" s="35">
        <v>0</v>
      </c>
      <c r="X59" s="26"/>
      <c r="Y59" s="35">
        <v>0</v>
      </c>
      <c r="AA59" s="35">
        <v>0</v>
      </c>
      <c r="AC59" s="71">
        <f t="shared" si="62"/>
        <v>6500</v>
      </c>
      <c r="AD59" s="71">
        <f t="shared" si="63"/>
        <v>13000</v>
      </c>
      <c r="AE59" s="71">
        <f t="shared" si="64"/>
        <v>0</v>
      </c>
      <c r="AG59" s="71">
        <f t="shared" si="65"/>
        <v>-6500</v>
      </c>
      <c r="AH59" s="71">
        <f t="shared" si="66"/>
        <v>-13000</v>
      </c>
      <c r="AI59" s="71">
        <f t="shared" si="67"/>
        <v>0</v>
      </c>
      <c r="AK59" s="71">
        <f t="shared" si="68"/>
        <v>-6500</v>
      </c>
      <c r="AL59" s="71">
        <f t="shared" si="69"/>
        <v>-13000</v>
      </c>
      <c r="AM59" s="71">
        <f t="shared" si="70"/>
        <v>0</v>
      </c>
    </row>
    <row r="60" spans="1:39" s="5" customFormat="1" x14ac:dyDescent="0.2">
      <c r="A60" s="64"/>
      <c r="B60" s="64"/>
      <c r="C60" s="64"/>
      <c r="D60" s="64"/>
      <c r="E60" s="64" t="s">
        <v>77</v>
      </c>
      <c r="F60" s="64"/>
      <c r="G60" s="64"/>
      <c r="H60" s="66"/>
      <c r="I60" s="66">
        <f>ROUND(SUM(I48:I59),5)</f>
        <v>146283</v>
      </c>
      <c r="J60" s="66"/>
      <c r="K60" s="66">
        <f>ROUND(SUM(K48:K59),5)</f>
        <v>84279</v>
      </c>
      <c r="L60" s="66"/>
      <c r="M60" s="66">
        <f>ROUND(SUM(M48:M59),5)</f>
        <v>109792</v>
      </c>
      <c r="N60" s="66"/>
      <c r="O60" s="66">
        <f>ROUND(SUM(O48:O59),5)</f>
        <v>94957.34</v>
      </c>
      <c r="P60" s="66"/>
      <c r="Q60" s="66">
        <f>ROUND(SUM(Q48:Q59),5)</f>
        <v>160267.06</v>
      </c>
      <c r="R60" s="66"/>
      <c r="S60" s="26">
        <f>ROUND(SUM(S48:S59),5)</f>
        <v>343556.22</v>
      </c>
      <c r="T60" s="26"/>
      <c r="U60" s="26"/>
      <c r="V60" s="26"/>
      <c r="W60" s="26">
        <f>ROUND(SUM(W48:W59),5)</f>
        <v>87761.83</v>
      </c>
      <c r="X60" s="26"/>
      <c r="Y60" s="26">
        <f>ROUND(SUM(Y48:Y59),5)</f>
        <v>116100</v>
      </c>
      <c r="AA60" s="26">
        <f>ROUND(SUM(AA48:AA59),5)</f>
        <v>76800</v>
      </c>
      <c r="AC60" s="66">
        <f t="shared" ref="AC60:AE60" si="71">ROUND(SUM(AC58:AC59),5)</f>
        <v>18235.437999999998</v>
      </c>
      <c r="AD60" s="66">
        <f t="shared" si="71"/>
        <v>33347.870000000003</v>
      </c>
      <c r="AE60" s="66">
        <f t="shared" si="71"/>
        <v>557</v>
      </c>
      <c r="AG60" s="66">
        <f t="shared" ref="AG60:AI60" si="72">ROUND(SUM(AG58:AG59),5)</f>
        <v>-15352.108</v>
      </c>
      <c r="AH60" s="66">
        <f t="shared" si="72"/>
        <v>-30464.54</v>
      </c>
      <c r="AI60" s="66">
        <f t="shared" si="72"/>
        <v>2326.33</v>
      </c>
      <c r="AK60" s="66"/>
      <c r="AL60" s="66"/>
      <c r="AM60" s="66"/>
    </row>
    <row r="61" spans="1:39" s="5" customFormat="1" x14ac:dyDescent="0.2">
      <c r="A61" s="64"/>
      <c r="B61" s="64"/>
      <c r="C61" s="64"/>
      <c r="D61" s="64"/>
      <c r="E61" s="64" t="s">
        <v>78</v>
      </c>
      <c r="F61" s="64"/>
      <c r="G61" s="64"/>
      <c r="H61" s="66"/>
      <c r="I61" s="66"/>
      <c r="J61" s="66"/>
      <c r="K61" s="66"/>
      <c r="L61" s="66"/>
      <c r="M61" s="66"/>
      <c r="N61" s="66"/>
      <c r="O61" s="66"/>
      <c r="P61" s="66"/>
      <c r="Q61" s="66"/>
      <c r="R61" s="66"/>
      <c r="S61" s="26"/>
      <c r="T61" s="26"/>
      <c r="U61" s="26"/>
      <c r="V61" s="26"/>
      <c r="W61" s="26"/>
      <c r="X61" s="26"/>
      <c r="Y61" s="26"/>
      <c r="AA61" s="26"/>
      <c r="AC61" s="66"/>
      <c r="AD61" s="66"/>
      <c r="AE61" s="66"/>
      <c r="AG61" s="66"/>
      <c r="AH61" s="66"/>
      <c r="AI61" s="66"/>
      <c r="AK61" s="66"/>
      <c r="AL61" s="66"/>
      <c r="AM61" s="66"/>
    </row>
    <row r="62" spans="1:39" s="5" customFormat="1" x14ac:dyDescent="0.2">
      <c r="A62" s="64"/>
      <c r="B62" s="64"/>
      <c r="C62" s="64"/>
      <c r="D62" s="64"/>
      <c r="E62" s="64"/>
      <c r="F62" s="64" t="s">
        <v>79</v>
      </c>
      <c r="G62" s="64"/>
      <c r="H62" s="66"/>
      <c r="I62" s="66">
        <v>8538</v>
      </c>
      <c r="J62" s="66"/>
      <c r="K62" s="66">
        <v>877</v>
      </c>
      <c r="L62" s="66"/>
      <c r="M62" s="66">
        <v>2610</v>
      </c>
      <c r="N62" s="66"/>
      <c r="O62" s="66">
        <v>6411.49</v>
      </c>
      <c r="P62" s="66"/>
      <c r="Q62" s="66">
        <v>0</v>
      </c>
      <c r="R62" s="66"/>
      <c r="S62" s="26">
        <v>0</v>
      </c>
      <c r="T62" s="26"/>
      <c r="U62" s="26"/>
      <c r="V62" s="26"/>
      <c r="W62" s="26">
        <v>2512</v>
      </c>
      <c r="X62" s="26"/>
      <c r="Y62" s="26">
        <v>0</v>
      </c>
      <c r="AA62" s="26">
        <v>0</v>
      </c>
      <c r="AC62" s="66">
        <f t="shared" ref="AC62:AC63" si="73">AVERAGE(K62:S62)</f>
        <v>1979.6979999999999</v>
      </c>
      <c r="AD62" s="66">
        <f>MAX(K62:S62)</f>
        <v>6411.49</v>
      </c>
      <c r="AE62" s="66">
        <f>MIN(K62:S62)</f>
        <v>0</v>
      </c>
      <c r="AG62" s="66">
        <f t="shared" ref="AG62:AG63" si="74">+W62-AC62</f>
        <v>532.30200000000013</v>
      </c>
      <c r="AH62" s="66">
        <f t="shared" ref="AH62:AH63" si="75">+W62-AD62</f>
        <v>-3899.49</v>
      </c>
      <c r="AI62" s="66">
        <f t="shared" ref="AI62:AI63" si="76">+W62-AE62</f>
        <v>2512</v>
      </c>
      <c r="AK62" s="66">
        <f t="shared" ref="AK62:AK63" si="77">+Y62-AC62</f>
        <v>-1979.6979999999999</v>
      </c>
      <c r="AL62" s="66">
        <f t="shared" ref="AL62:AL63" si="78">+Y62-AD62</f>
        <v>-6411.49</v>
      </c>
      <c r="AM62" s="66">
        <f t="shared" ref="AM62:AM63" si="79">+Y62-AE62</f>
        <v>0</v>
      </c>
    </row>
    <row r="63" spans="1:39" s="5" customFormat="1" ht="12" thickBot="1" x14ac:dyDescent="0.25">
      <c r="A63" s="64"/>
      <c r="B63" s="64"/>
      <c r="C63" s="64"/>
      <c r="D63" s="64"/>
      <c r="E63" s="64"/>
      <c r="F63" s="64" t="s">
        <v>80</v>
      </c>
      <c r="G63" s="64"/>
      <c r="H63" s="66"/>
      <c r="I63" s="71">
        <v>124</v>
      </c>
      <c r="J63" s="66"/>
      <c r="K63" s="71">
        <v>-332</v>
      </c>
      <c r="L63" s="66"/>
      <c r="M63" s="71">
        <v>-1418</v>
      </c>
      <c r="N63" s="66"/>
      <c r="O63" s="71">
        <v>360.22</v>
      </c>
      <c r="P63" s="71"/>
      <c r="Q63" s="71">
        <v>1075.6500000000001</v>
      </c>
      <c r="R63" s="71"/>
      <c r="S63" s="35">
        <v>-981.45</v>
      </c>
      <c r="T63" s="29"/>
      <c r="U63" s="29"/>
      <c r="V63" s="26"/>
      <c r="W63" s="35">
        <v>-1612.97</v>
      </c>
      <c r="X63" s="26"/>
      <c r="Y63" s="35">
        <v>0</v>
      </c>
      <c r="AA63" s="35">
        <v>0</v>
      </c>
      <c r="AC63" s="71">
        <f t="shared" si="73"/>
        <v>-259.11599999999999</v>
      </c>
      <c r="AD63" s="71">
        <f>MAX(K63:S63)</f>
        <v>1075.6500000000001</v>
      </c>
      <c r="AE63" s="71">
        <f>MIN(K63:S63)</f>
        <v>-1418</v>
      </c>
      <c r="AG63" s="71">
        <f t="shared" si="74"/>
        <v>-1353.854</v>
      </c>
      <c r="AH63" s="71">
        <f t="shared" si="75"/>
        <v>-2688.62</v>
      </c>
      <c r="AI63" s="71">
        <f t="shared" si="76"/>
        <v>-194.97000000000003</v>
      </c>
      <c r="AK63" s="71">
        <f t="shared" si="77"/>
        <v>259.11599999999999</v>
      </c>
      <c r="AL63" s="71">
        <f t="shared" si="78"/>
        <v>-1075.6500000000001</v>
      </c>
      <c r="AM63" s="71">
        <f t="shared" si="79"/>
        <v>1418</v>
      </c>
    </row>
    <row r="64" spans="1:39" s="5" customFormat="1" x14ac:dyDescent="0.2">
      <c r="A64" s="64"/>
      <c r="B64" s="64"/>
      <c r="C64" s="64"/>
      <c r="D64" s="64"/>
      <c r="E64" s="64" t="s">
        <v>81</v>
      </c>
      <c r="F64" s="64"/>
      <c r="G64" s="64"/>
      <c r="H64" s="66"/>
      <c r="I64" s="66">
        <f>ROUND(SUM(I61:I63),5)</f>
        <v>8662</v>
      </c>
      <c r="J64" s="66"/>
      <c r="K64" s="66">
        <f>ROUND(SUM(K61:K63),5)</f>
        <v>545</v>
      </c>
      <c r="L64" s="66"/>
      <c r="M64" s="66">
        <f>ROUND(SUM(M61:M63),5)</f>
        <v>1192</v>
      </c>
      <c r="N64" s="66"/>
      <c r="O64" s="66">
        <f>ROUND(SUM(O61:O63),5)</f>
        <v>6771.71</v>
      </c>
      <c r="P64" s="66"/>
      <c r="Q64" s="66">
        <f>ROUND(SUM(Q61:Q63),5)</f>
        <v>1075.6500000000001</v>
      </c>
      <c r="R64" s="66"/>
      <c r="S64" s="26">
        <f>ROUND(SUM(S61:S63),5)</f>
        <v>-981.45</v>
      </c>
      <c r="T64" s="26"/>
      <c r="U64" s="26"/>
      <c r="V64" s="26"/>
      <c r="W64" s="26">
        <f>ROUND(SUM(W61:W63),5)</f>
        <v>899.03</v>
      </c>
      <c r="X64" s="26"/>
      <c r="Y64" s="26">
        <f>ROUND(SUM(Y61:Y63),5)</f>
        <v>0</v>
      </c>
      <c r="AA64" s="26">
        <f>ROUND(SUM(AA61:AA63),5)</f>
        <v>0</v>
      </c>
      <c r="AC64" s="66">
        <f>ROUND(SUM(AC61:AC63),5)</f>
        <v>1720.5820000000001</v>
      </c>
      <c r="AD64" s="66">
        <f>ROUND(SUM(AD61:AD63),5)</f>
        <v>7487.14</v>
      </c>
      <c r="AE64" s="66">
        <f>ROUND(SUM(AE61:AE63),5)</f>
        <v>-1418</v>
      </c>
      <c r="AG64" s="66"/>
      <c r="AH64" s="66"/>
      <c r="AI64" s="66"/>
      <c r="AK64" s="66"/>
      <c r="AL64" s="66"/>
      <c r="AM64" s="66"/>
    </row>
    <row r="65" spans="1:39" s="5" customFormat="1" x14ac:dyDescent="0.2">
      <c r="A65" s="64"/>
      <c r="B65" s="64"/>
      <c r="C65" s="64"/>
      <c r="D65" s="64"/>
      <c r="E65" s="64" t="s">
        <v>82</v>
      </c>
      <c r="F65" s="64"/>
      <c r="G65" s="64"/>
      <c r="H65" s="66"/>
      <c r="I65" s="66"/>
      <c r="J65" s="66"/>
      <c r="K65" s="66"/>
      <c r="L65" s="66"/>
      <c r="M65" s="66"/>
      <c r="N65" s="66"/>
      <c r="O65" s="66"/>
      <c r="P65" s="66"/>
      <c r="Q65" s="66"/>
      <c r="R65" s="66"/>
      <c r="S65" s="26"/>
      <c r="T65" s="26"/>
      <c r="U65" s="26"/>
      <c r="V65" s="26"/>
      <c r="W65" s="26"/>
      <c r="X65" s="26"/>
      <c r="Y65" s="26"/>
      <c r="AA65" s="26"/>
      <c r="AC65" s="66"/>
      <c r="AD65" s="66"/>
      <c r="AE65" s="66"/>
      <c r="AG65" s="66"/>
      <c r="AH65" s="66"/>
      <c r="AI65" s="66"/>
      <c r="AK65" s="66"/>
      <c r="AL65" s="66"/>
      <c r="AM65" s="66"/>
    </row>
    <row r="66" spans="1:39" s="5" customFormat="1" x14ac:dyDescent="0.2">
      <c r="A66" s="64"/>
      <c r="B66" s="64"/>
      <c r="C66" s="64"/>
      <c r="D66" s="64"/>
      <c r="E66" s="64"/>
      <c r="F66" s="64" t="s">
        <v>83</v>
      </c>
      <c r="G66" s="64"/>
      <c r="H66" s="66"/>
      <c r="I66" s="66"/>
      <c r="J66" s="66"/>
      <c r="K66" s="66"/>
      <c r="L66" s="66"/>
      <c r="M66" s="66"/>
      <c r="N66" s="66"/>
      <c r="O66" s="66"/>
      <c r="P66" s="66"/>
      <c r="Q66" s="66"/>
      <c r="R66" s="66"/>
      <c r="S66" s="26"/>
      <c r="T66" s="26"/>
      <c r="U66" s="26"/>
      <c r="V66" s="26"/>
      <c r="W66" s="26">
        <v>4240.55</v>
      </c>
      <c r="X66" s="26"/>
      <c r="Y66" s="26"/>
      <c r="AA66" s="26"/>
      <c r="AC66" s="66"/>
      <c r="AD66" s="66"/>
      <c r="AE66" s="66"/>
      <c r="AG66" s="66"/>
      <c r="AH66" s="66"/>
      <c r="AI66" s="66"/>
      <c r="AK66" s="66"/>
      <c r="AL66" s="66"/>
      <c r="AM66" s="66"/>
    </row>
    <row r="67" spans="1:39" s="43" customFormat="1" x14ac:dyDescent="0.2">
      <c r="A67" s="64"/>
      <c r="B67" s="64"/>
      <c r="C67" s="64"/>
      <c r="D67" s="64"/>
      <c r="E67" s="64"/>
      <c r="F67" s="64" t="s">
        <v>84</v>
      </c>
      <c r="G67" s="64"/>
      <c r="H67" s="66"/>
      <c r="I67" s="66"/>
      <c r="J67" s="66"/>
      <c r="K67" s="66"/>
      <c r="L67" s="66"/>
      <c r="M67" s="66"/>
      <c r="N67" s="66"/>
      <c r="O67" s="69">
        <v>10686.42</v>
      </c>
      <c r="P67" s="69"/>
      <c r="Q67" s="66">
        <v>20705.47</v>
      </c>
      <c r="R67" s="66"/>
      <c r="S67" s="29">
        <v>24825.85</v>
      </c>
      <c r="T67" s="29"/>
      <c r="U67" s="29"/>
      <c r="V67" s="29"/>
      <c r="W67" s="29">
        <v>25442</v>
      </c>
      <c r="X67" s="29"/>
      <c r="Y67" s="29">
        <v>25000</v>
      </c>
      <c r="AA67" s="29">
        <v>23000</v>
      </c>
      <c r="AC67" s="69">
        <f t="shared" ref="AC67:AC68" si="80">AVERAGE(K67:S67)</f>
        <v>18739.246666666666</v>
      </c>
      <c r="AD67" s="69">
        <f>MAX(K67:S67)</f>
        <v>24825.85</v>
      </c>
      <c r="AE67" s="69">
        <f>MIN(K67:S67)</f>
        <v>10686.42</v>
      </c>
      <c r="AF67" s="5"/>
      <c r="AG67" s="69">
        <f t="shared" ref="AG67:AG68" si="81">+W67-AC67</f>
        <v>6702.753333333334</v>
      </c>
      <c r="AH67" s="69">
        <f t="shared" ref="AH67:AH68" si="82">+W67-AD67</f>
        <v>616.15000000000146</v>
      </c>
      <c r="AI67" s="69">
        <f t="shared" ref="AI67:AI68" si="83">+W67-AE67</f>
        <v>14755.58</v>
      </c>
      <c r="AJ67" s="5"/>
      <c r="AK67" s="69">
        <f t="shared" ref="AK67:AK68" si="84">+Y67-AC67</f>
        <v>6260.753333333334</v>
      </c>
      <c r="AL67" s="69">
        <f t="shared" ref="AL67:AL68" si="85">+Y67-AD67</f>
        <v>174.15000000000146</v>
      </c>
      <c r="AM67" s="69">
        <f t="shared" ref="AM67:AM68" si="86">+Y67-AE67</f>
        <v>14313.58</v>
      </c>
    </row>
    <row r="68" spans="1:39" s="5" customFormat="1" ht="12" thickBot="1" x14ac:dyDescent="0.25">
      <c r="A68" s="64"/>
      <c r="B68" s="64"/>
      <c r="C68" s="64"/>
      <c r="D68" s="64"/>
      <c r="E68" s="64"/>
      <c r="F68" s="64" t="s">
        <v>85</v>
      </c>
      <c r="G68" s="64"/>
      <c r="H68" s="66"/>
      <c r="I68" s="71"/>
      <c r="J68" s="66"/>
      <c r="K68" s="71"/>
      <c r="L68" s="66"/>
      <c r="M68" s="71"/>
      <c r="N68" s="66"/>
      <c r="O68" s="71"/>
      <c r="P68" s="71"/>
      <c r="Q68" s="71">
        <v>29486</v>
      </c>
      <c r="R68" s="71"/>
      <c r="S68" s="35"/>
      <c r="T68" s="29"/>
      <c r="U68" s="29"/>
      <c r="V68" s="26"/>
      <c r="W68" s="35"/>
      <c r="X68" s="26"/>
      <c r="Y68" s="35"/>
      <c r="AA68" s="35"/>
      <c r="AC68" s="71">
        <f t="shared" si="80"/>
        <v>29486</v>
      </c>
      <c r="AD68" s="71">
        <f>MAX(K68:S68)</f>
        <v>29486</v>
      </c>
      <c r="AE68" s="71">
        <f>MIN(K68:S68)</f>
        <v>29486</v>
      </c>
      <c r="AG68" s="71">
        <f t="shared" si="81"/>
        <v>-29486</v>
      </c>
      <c r="AH68" s="71">
        <f t="shared" si="82"/>
        <v>-29486</v>
      </c>
      <c r="AI68" s="71">
        <f t="shared" si="83"/>
        <v>-29486</v>
      </c>
      <c r="AK68" s="71">
        <f t="shared" si="84"/>
        <v>-29486</v>
      </c>
      <c r="AL68" s="71">
        <f t="shared" si="85"/>
        <v>-29486</v>
      </c>
      <c r="AM68" s="71">
        <f t="shared" si="86"/>
        <v>-29486</v>
      </c>
    </row>
    <row r="69" spans="1:39" s="5" customFormat="1" x14ac:dyDescent="0.2">
      <c r="A69" s="64"/>
      <c r="B69" s="64"/>
      <c r="C69" s="64"/>
      <c r="D69" s="64"/>
      <c r="E69" s="64" t="s">
        <v>86</v>
      </c>
      <c r="F69" s="64"/>
      <c r="G69" s="64"/>
      <c r="H69" s="66"/>
      <c r="I69" s="66">
        <f>ROUND(SUM(I65:I68),5)</f>
        <v>0</v>
      </c>
      <c r="J69" s="66"/>
      <c r="K69" s="66">
        <f>ROUND(SUM(K65:K68),5)</f>
        <v>0</v>
      </c>
      <c r="L69" s="66"/>
      <c r="M69" s="66">
        <f>ROUND(SUM(M65:M68),5)</f>
        <v>0</v>
      </c>
      <c r="N69" s="66"/>
      <c r="O69" s="66">
        <f>ROUND(SUM(O65:O68),5)</f>
        <v>10686.42</v>
      </c>
      <c r="P69" s="66"/>
      <c r="Q69" s="66">
        <f>ROUND(SUM(Q65:Q68),5)</f>
        <v>50191.47</v>
      </c>
      <c r="R69" s="66"/>
      <c r="S69" s="26">
        <f>ROUND(SUM(S65:S68),5)</f>
        <v>24825.85</v>
      </c>
      <c r="T69" s="26"/>
      <c r="U69" s="26"/>
      <c r="V69" s="26"/>
      <c r="W69" s="26">
        <f>ROUND(SUM(W65:W68),5)</f>
        <v>29682.55</v>
      </c>
      <c r="X69" s="26"/>
      <c r="Y69" s="26">
        <f>ROUND(SUM(Y65:Y68),5)</f>
        <v>25000</v>
      </c>
      <c r="AA69" s="26">
        <f>ROUND(SUM(AA65:AA68),5)</f>
        <v>23000</v>
      </c>
      <c r="AC69" s="66">
        <f t="shared" ref="AC69:AE69" si="87">ROUND(SUM(AC65:AC68),5)</f>
        <v>48225.24667</v>
      </c>
      <c r="AD69" s="66">
        <f t="shared" si="87"/>
        <v>54311.85</v>
      </c>
      <c r="AE69" s="66">
        <f t="shared" si="87"/>
        <v>40172.42</v>
      </c>
      <c r="AG69" s="66">
        <f t="shared" ref="AG69:AI69" si="88">ROUND(SUM(AG65:AG68),5)</f>
        <v>-22783.24667</v>
      </c>
      <c r="AH69" s="66">
        <f t="shared" si="88"/>
        <v>-28869.85</v>
      </c>
      <c r="AI69" s="66">
        <f t="shared" si="88"/>
        <v>-14730.42</v>
      </c>
      <c r="AK69" s="66"/>
      <c r="AL69" s="66"/>
      <c r="AM69" s="66"/>
    </row>
    <row r="70" spans="1:39" s="5" customFormat="1" x14ac:dyDescent="0.2">
      <c r="A70" s="64"/>
      <c r="B70" s="64"/>
      <c r="C70" s="64"/>
      <c r="D70" s="64"/>
      <c r="E70" s="64" t="s">
        <v>87</v>
      </c>
      <c r="F70" s="64"/>
      <c r="G70" s="64"/>
      <c r="H70" s="66"/>
      <c r="I70" s="66"/>
      <c r="J70" s="66"/>
      <c r="K70" s="66"/>
      <c r="L70" s="66"/>
      <c r="M70" s="66"/>
      <c r="N70" s="66"/>
      <c r="O70" s="66"/>
      <c r="P70" s="66"/>
      <c r="Q70" s="66"/>
      <c r="R70" s="66"/>
      <c r="S70" s="26"/>
      <c r="T70" s="26"/>
      <c r="U70" s="26"/>
      <c r="V70" s="26"/>
      <c r="W70" s="26"/>
      <c r="X70" s="26"/>
      <c r="Y70" s="26"/>
      <c r="AA70" s="26"/>
      <c r="AC70" s="66"/>
      <c r="AD70" s="66"/>
      <c r="AE70" s="66"/>
      <c r="AG70" s="66"/>
      <c r="AH70" s="66"/>
      <c r="AI70" s="66"/>
      <c r="AK70" s="66"/>
      <c r="AL70" s="66"/>
      <c r="AM70" s="66"/>
    </row>
    <row r="71" spans="1:39" s="5" customFormat="1" x14ac:dyDescent="0.2">
      <c r="A71" s="64"/>
      <c r="B71" s="64"/>
      <c r="C71" s="64"/>
      <c r="D71" s="64"/>
      <c r="E71" s="64"/>
      <c r="F71" s="68" t="s">
        <v>88</v>
      </c>
      <c r="G71" s="64"/>
      <c r="H71" s="66"/>
      <c r="I71" s="66"/>
      <c r="J71" s="66"/>
      <c r="K71" s="66"/>
      <c r="L71" s="66"/>
      <c r="M71" s="66"/>
      <c r="N71" s="66"/>
      <c r="O71" s="66"/>
      <c r="P71" s="66"/>
      <c r="Q71" s="66">
        <v>3000</v>
      </c>
      <c r="R71" s="66"/>
      <c r="S71" s="26">
        <v>1396</v>
      </c>
      <c r="T71" s="26"/>
      <c r="U71" s="26"/>
      <c r="V71" s="26"/>
      <c r="W71" s="26">
        <v>1750</v>
      </c>
      <c r="X71" s="26"/>
      <c r="Y71" s="26">
        <v>2000</v>
      </c>
      <c r="AA71" s="26">
        <v>2000</v>
      </c>
      <c r="AC71" s="66">
        <f t="shared" ref="AC71:AC76" si="89">AVERAGE(K71:S71)</f>
        <v>2198</v>
      </c>
      <c r="AD71" s="66">
        <f>MAX(K71:S71)</f>
        <v>3000</v>
      </c>
      <c r="AE71" s="66">
        <f>MIN(K71:S71)</f>
        <v>1396</v>
      </c>
      <c r="AG71" s="66">
        <f t="shared" ref="AG71:AG76" si="90">+W71-AC71</f>
        <v>-448</v>
      </c>
      <c r="AH71" s="66">
        <f t="shared" ref="AH71:AH76" si="91">+W71-AD71</f>
        <v>-1250</v>
      </c>
      <c r="AI71" s="66">
        <f t="shared" ref="AI71:AI76" si="92">+W71-AE71</f>
        <v>354</v>
      </c>
      <c r="AK71" s="66">
        <f t="shared" ref="AK71:AK76" si="93">+Y71-AC71</f>
        <v>-198</v>
      </c>
      <c r="AL71" s="66">
        <f t="shared" ref="AL71:AL76" si="94">+Y71-AD71</f>
        <v>-1000</v>
      </c>
      <c r="AM71" s="66">
        <f t="shared" ref="AM71:AM76" si="95">+Y71-AE71</f>
        <v>604</v>
      </c>
    </row>
    <row r="72" spans="1:39" s="5" customFormat="1" x14ac:dyDescent="0.2">
      <c r="A72" s="64"/>
      <c r="B72" s="64"/>
      <c r="C72" s="64"/>
      <c r="D72" s="64"/>
      <c r="E72" s="64"/>
      <c r="F72" s="68" t="s">
        <v>89</v>
      </c>
      <c r="G72" s="64"/>
      <c r="H72" s="66"/>
      <c r="I72" s="66"/>
      <c r="J72" s="66"/>
      <c r="K72" s="66"/>
      <c r="L72" s="66"/>
      <c r="M72" s="66"/>
      <c r="N72" s="66"/>
      <c r="O72" s="66"/>
      <c r="P72" s="66"/>
      <c r="Q72" s="66">
        <v>3980</v>
      </c>
      <c r="R72" s="66"/>
      <c r="S72" s="26">
        <v>4841</v>
      </c>
      <c r="T72" s="26"/>
      <c r="U72" s="26"/>
      <c r="V72" s="26"/>
      <c r="W72" s="26">
        <v>2765</v>
      </c>
      <c r="X72" s="26"/>
      <c r="Y72" s="26">
        <v>3000</v>
      </c>
      <c r="AA72" s="26">
        <v>3000</v>
      </c>
      <c r="AC72" s="66">
        <f t="shared" si="89"/>
        <v>4410.5</v>
      </c>
      <c r="AD72" s="66">
        <f>MAX(K72:S72)</f>
        <v>4841</v>
      </c>
      <c r="AE72" s="66">
        <f>MIN(K72:S72)</f>
        <v>3980</v>
      </c>
      <c r="AG72" s="66">
        <f t="shared" si="90"/>
        <v>-1645.5</v>
      </c>
      <c r="AH72" s="66">
        <f t="shared" si="91"/>
        <v>-2076</v>
      </c>
      <c r="AI72" s="66">
        <f t="shared" si="92"/>
        <v>-1215</v>
      </c>
      <c r="AK72" s="66">
        <f t="shared" si="93"/>
        <v>-1410.5</v>
      </c>
      <c r="AL72" s="66">
        <f t="shared" si="94"/>
        <v>-1841</v>
      </c>
      <c r="AM72" s="66">
        <f t="shared" si="95"/>
        <v>-980</v>
      </c>
    </row>
    <row r="73" spans="1:39" s="5" customFormat="1" x14ac:dyDescent="0.2">
      <c r="A73" s="64"/>
      <c r="B73" s="64"/>
      <c r="C73" s="64"/>
      <c r="D73" s="64"/>
      <c r="E73" s="64"/>
      <c r="F73" s="68" t="s">
        <v>90</v>
      </c>
      <c r="G73" s="64"/>
      <c r="H73" s="66"/>
      <c r="I73" s="66"/>
      <c r="J73" s="66"/>
      <c r="K73" s="66"/>
      <c r="L73" s="66"/>
      <c r="M73" s="66"/>
      <c r="N73" s="66"/>
      <c r="O73" s="66"/>
      <c r="P73" s="66"/>
      <c r="Q73" s="66">
        <v>2207.52</v>
      </c>
      <c r="R73" s="66"/>
      <c r="S73" s="26">
        <v>1785</v>
      </c>
      <c r="T73" s="26"/>
      <c r="U73" s="26"/>
      <c r="V73" s="26"/>
      <c r="W73" s="26">
        <v>3158</v>
      </c>
      <c r="X73" s="26"/>
      <c r="Y73" s="26">
        <v>5000</v>
      </c>
      <c r="AA73" s="26">
        <v>5000</v>
      </c>
      <c r="AC73" s="66">
        <f t="shared" si="89"/>
        <v>1996.26</v>
      </c>
      <c r="AD73" s="66">
        <f>MAX(K73:S73)</f>
        <v>2207.52</v>
      </c>
      <c r="AE73" s="66">
        <f>MIN(K73:S73)</f>
        <v>1785</v>
      </c>
      <c r="AG73" s="66">
        <f t="shared" si="90"/>
        <v>1161.74</v>
      </c>
      <c r="AH73" s="66">
        <f t="shared" si="91"/>
        <v>950.48</v>
      </c>
      <c r="AI73" s="66">
        <f t="shared" si="92"/>
        <v>1373</v>
      </c>
      <c r="AK73" s="66">
        <f t="shared" si="93"/>
        <v>3003.74</v>
      </c>
      <c r="AL73" s="66">
        <f t="shared" si="94"/>
        <v>2792.48</v>
      </c>
      <c r="AM73" s="66">
        <f t="shared" si="95"/>
        <v>3215</v>
      </c>
    </row>
    <row r="74" spans="1:39" s="5" customFormat="1" x14ac:dyDescent="0.2">
      <c r="A74" s="64"/>
      <c r="B74" s="64"/>
      <c r="C74" s="64"/>
      <c r="D74" s="64"/>
      <c r="E74" s="64"/>
      <c r="F74" s="64" t="s">
        <v>91</v>
      </c>
      <c r="G74" s="64"/>
      <c r="H74" s="66"/>
      <c r="I74" s="66"/>
      <c r="J74" s="66"/>
      <c r="K74" s="66"/>
      <c r="L74" s="66"/>
      <c r="M74" s="66"/>
      <c r="N74" s="66"/>
      <c r="O74" s="66"/>
      <c r="P74" s="66"/>
      <c r="Q74" s="66"/>
      <c r="R74" s="66"/>
      <c r="S74" s="26">
        <v>41134.85</v>
      </c>
      <c r="T74" s="26"/>
      <c r="U74" s="26"/>
      <c r="V74" s="26"/>
      <c r="W74" s="26">
        <v>44795</v>
      </c>
      <c r="X74" s="26"/>
      <c r="Y74" s="26">
        <v>0</v>
      </c>
      <c r="AA74" s="26">
        <v>0</v>
      </c>
      <c r="AC74" s="66">
        <f t="shared" si="89"/>
        <v>41134.85</v>
      </c>
      <c r="AD74" s="66"/>
      <c r="AE74" s="66"/>
      <c r="AG74" s="66"/>
      <c r="AH74" s="66"/>
      <c r="AI74" s="66"/>
      <c r="AK74" s="66"/>
      <c r="AL74" s="66"/>
      <c r="AM74" s="66"/>
    </row>
    <row r="75" spans="1:39" s="5" customFormat="1" x14ac:dyDescent="0.2">
      <c r="A75" s="64"/>
      <c r="B75" s="64"/>
      <c r="C75" s="64"/>
      <c r="D75" s="64"/>
      <c r="E75" s="64"/>
      <c r="F75" s="64" t="s">
        <v>92</v>
      </c>
      <c r="G75" s="64"/>
      <c r="H75" s="66"/>
      <c r="I75" s="66"/>
      <c r="J75" s="66"/>
      <c r="K75" s="66"/>
      <c r="L75" s="66"/>
      <c r="M75" s="66"/>
      <c r="N75" s="66"/>
      <c r="O75" s="66"/>
      <c r="P75" s="66"/>
      <c r="Q75" s="66">
        <v>25000</v>
      </c>
      <c r="R75" s="66"/>
      <c r="S75" s="26">
        <v>0</v>
      </c>
      <c r="T75" s="26"/>
      <c r="U75" s="26"/>
      <c r="V75" s="26"/>
      <c r="W75" s="26">
        <v>0</v>
      </c>
      <c r="X75" s="26"/>
      <c r="Y75" s="26">
        <v>0</v>
      </c>
      <c r="AA75" s="26">
        <v>0</v>
      </c>
      <c r="AC75" s="66">
        <f t="shared" si="89"/>
        <v>12500</v>
      </c>
      <c r="AD75" s="66"/>
      <c r="AE75" s="66"/>
      <c r="AG75" s="66"/>
      <c r="AH75" s="66"/>
      <c r="AI75" s="66"/>
      <c r="AK75" s="66"/>
      <c r="AL75" s="66"/>
      <c r="AM75" s="66"/>
    </row>
    <row r="76" spans="1:39" s="5" customFormat="1" ht="12" thickBot="1" x14ac:dyDescent="0.25">
      <c r="A76" s="64"/>
      <c r="B76" s="64"/>
      <c r="C76" s="64"/>
      <c r="D76" s="64"/>
      <c r="E76" s="64"/>
      <c r="F76" s="68" t="s">
        <v>93</v>
      </c>
      <c r="G76" s="64"/>
      <c r="H76" s="66"/>
      <c r="I76" s="71"/>
      <c r="J76" s="66"/>
      <c r="K76" s="71"/>
      <c r="L76" s="66"/>
      <c r="M76" s="71">
        <v>35000</v>
      </c>
      <c r="N76" s="66"/>
      <c r="O76" s="71"/>
      <c r="P76" s="71"/>
      <c r="Q76" s="71">
        <v>33773.42</v>
      </c>
      <c r="R76" s="71"/>
      <c r="S76" s="35">
        <v>0</v>
      </c>
      <c r="T76" s="29"/>
      <c r="U76" s="29"/>
      <c r="V76" s="26"/>
      <c r="W76" s="35">
        <v>0</v>
      </c>
      <c r="X76" s="26"/>
      <c r="Y76" s="35">
        <v>0</v>
      </c>
      <c r="AA76" s="35">
        <v>0</v>
      </c>
      <c r="AC76" s="71">
        <f t="shared" si="89"/>
        <v>22924.473333333332</v>
      </c>
      <c r="AD76" s="71">
        <f>MAX(K76:S76)</f>
        <v>35000</v>
      </c>
      <c r="AE76" s="71">
        <f>MIN(K76:S76)</f>
        <v>0</v>
      </c>
      <c r="AG76" s="71">
        <f t="shared" si="90"/>
        <v>-22924.473333333332</v>
      </c>
      <c r="AH76" s="71">
        <f t="shared" si="91"/>
        <v>-35000</v>
      </c>
      <c r="AI76" s="71">
        <f t="shared" si="92"/>
        <v>0</v>
      </c>
      <c r="AK76" s="71">
        <f t="shared" si="93"/>
        <v>-22924.473333333332</v>
      </c>
      <c r="AL76" s="71">
        <f t="shared" si="94"/>
        <v>-35000</v>
      </c>
      <c r="AM76" s="71">
        <f t="shared" si="95"/>
        <v>0</v>
      </c>
    </row>
    <row r="77" spans="1:39" s="5" customFormat="1" x14ac:dyDescent="0.2">
      <c r="A77" s="64"/>
      <c r="B77" s="64"/>
      <c r="C77" s="64"/>
      <c r="D77" s="64"/>
      <c r="E77" s="64" t="s">
        <v>94</v>
      </c>
      <c r="F77" s="64"/>
      <c r="G77" s="64"/>
      <c r="H77" s="66"/>
      <c r="I77" s="66">
        <f>ROUND(SUM(I70:I76),5)</f>
        <v>0</v>
      </c>
      <c r="J77" s="66"/>
      <c r="K77" s="66">
        <f>ROUND(SUM(K70:K76),5)</f>
        <v>0</v>
      </c>
      <c r="L77" s="66"/>
      <c r="M77" s="66">
        <f>ROUND(SUM(M70:M76),5)</f>
        <v>35000</v>
      </c>
      <c r="N77" s="66"/>
      <c r="O77" s="66">
        <f>ROUND(SUM(O70:O76),5)</f>
        <v>0</v>
      </c>
      <c r="P77" s="66"/>
      <c r="Q77" s="66">
        <f>ROUND(SUM(Q70:Q76),5)</f>
        <v>67960.94</v>
      </c>
      <c r="R77" s="66"/>
      <c r="S77" s="26">
        <f>ROUND(SUM(S70:S76),5)</f>
        <v>49156.85</v>
      </c>
      <c r="T77" s="26"/>
      <c r="U77" s="26"/>
      <c r="V77" s="26"/>
      <c r="W77" s="26">
        <f>ROUND(SUM(W70:W76),5)</f>
        <v>52468</v>
      </c>
      <c r="X77" s="26"/>
      <c r="Y77" s="26">
        <f>ROUND(SUM(Y70:Y76),5)</f>
        <v>10000</v>
      </c>
      <c r="AA77" s="26">
        <f>ROUND(SUM(AA70:AA76),5)</f>
        <v>10000</v>
      </c>
      <c r="AC77" s="66">
        <f t="shared" ref="AC77:AE77" si="96">ROUND(SUM(AC70:AC76),5)</f>
        <v>85164.083329999994</v>
      </c>
      <c r="AD77" s="66">
        <f t="shared" si="96"/>
        <v>45048.52</v>
      </c>
      <c r="AE77" s="66">
        <f t="shared" si="96"/>
        <v>7161</v>
      </c>
      <c r="AG77" s="66">
        <f t="shared" ref="AG77:AI77" si="97">ROUND(SUM(AG70:AG76),5)</f>
        <v>-23856.233329999999</v>
      </c>
      <c r="AH77" s="66">
        <f t="shared" si="97"/>
        <v>-37375.519999999997</v>
      </c>
      <c r="AI77" s="66">
        <f t="shared" si="97"/>
        <v>512</v>
      </c>
      <c r="AK77" s="66"/>
      <c r="AL77" s="66"/>
      <c r="AM77" s="66"/>
    </row>
    <row r="78" spans="1:39" s="5" customFormat="1" x14ac:dyDescent="0.2">
      <c r="A78" s="64"/>
      <c r="B78" s="64"/>
      <c r="C78" s="64"/>
      <c r="D78" s="64"/>
      <c r="E78" s="64" t="s">
        <v>95</v>
      </c>
      <c r="F78" s="64"/>
      <c r="G78" s="64"/>
      <c r="H78" s="66"/>
      <c r="I78" s="66"/>
      <c r="J78" s="66"/>
      <c r="K78" s="66"/>
      <c r="L78" s="66"/>
      <c r="M78" s="66"/>
      <c r="N78" s="66"/>
      <c r="O78" s="66"/>
      <c r="P78" s="66"/>
      <c r="Q78" s="66"/>
      <c r="R78" s="66"/>
      <c r="S78" s="26"/>
      <c r="T78" s="26"/>
      <c r="U78" s="26"/>
      <c r="V78" s="26"/>
      <c r="W78" s="26"/>
      <c r="X78" s="26"/>
      <c r="Y78" s="26"/>
      <c r="AA78" s="26"/>
      <c r="AC78" s="66"/>
      <c r="AD78" s="66"/>
      <c r="AE78" s="66"/>
      <c r="AG78" s="66"/>
      <c r="AH78" s="66"/>
      <c r="AI78" s="66"/>
      <c r="AK78" s="66"/>
      <c r="AL78" s="66"/>
      <c r="AM78" s="66"/>
    </row>
    <row r="79" spans="1:39" s="5" customFormat="1" x14ac:dyDescent="0.2">
      <c r="A79" s="64"/>
      <c r="B79" s="64"/>
      <c r="C79" s="64"/>
      <c r="D79" s="64"/>
      <c r="E79" s="64"/>
      <c r="F79" s="68" t="s">
        <v>96</v>
      </c>
      <c r="G79" s="64"/>
      <c r="H79" s="66"/>
      <c r="I79" s="66"/>
      <c r="J79" s="66"/>
      <c r="K79" s="66"/>
      <c r="L79" s="66"/>
      <c r="M79" s="66">
        <v>30000</v>
      </c>
      <c r="N79" s="66"/>
      <c r="O79" s="66">
        <v>60000</v>
      </c>
      <c r="P79" s="66"/>
      <c r="Q79" s="66">
        <v>60000</v>
      </c>
      <c r="R79" s="66"/>
      <c r="S79" s="26">
        <v>60000</v>
      </c>
      <c r="T79" s="26"/>
      <c r="U79" s="26"/>
      <c r="V79" s="26"/>
      <c r="W79" s="26">
        <v>0</v>
      </c>
      <c r="X79" s="26"/>
      <c r="Y79" s="26">
        <v>60000</v>
      </c>
      <c r="AA79" s="26"/>
      <c r="AC79" s="66">
        <f t="shared" ref="AC79:AC81" si="98">AVERAGE(K79:S79)</f>
        <v>52500</v>
      </c>
      <c r="AD79" s="66">
        <f>MAX(K79:S79)</f>
        <v>60000</v>
      </c>
      <c r="AE79" s="66">
        <f>MIN(K79:S79)</f>
        <v>30000</v>
      </c>
      <c r="AG79" s="66">
        <f t="shared" ref="AG79:AG81" si="99">+W79-AC79</f>
        <v>-52500</v>
      </c>
      <c r="AH79" s="66">
        <f t="shared" ref="AH79:AH81" si="100">+W79-AD79</f>
        <v>-60000</v>
      </c>
      <c r="AI79" s="66">
        <f t="shared" ref="AI79:AI81" si="101">+W79-AE79</f>
        <v>-30000</v>
      </c>
      <c r="AK79" s="66">
        <f t="shared" ref="AK79:AK81" si="102">+Y79-AC79</f>
        <v>7500</v>
      </c>
      <c r="AL79" s="66">
        <f t="shared" ref="AL79:AL81" si="103">+Y79-AD79</f>
        <v>0</v>
      </c>
      <c r="AM79" s="66">
        <f t="shared" ref="AM79:AM81" si="104">+Y79-AE79</f>
        <v>30000</v>
      </c>
    </row>
    <row r="80" spans="1:39" s="5" customFormat="1" x14ac:dyDescent="0.2">
      <c r="A80" s="64"/>
      <c r="B80" s="64"/>
      <c r="C80" s="64"/>
      <c r="D80" s="64"/>
      <c r="E80" s="64"/>
      <c r="F80" s="64" t="s">
        <v>97</v>
      </c>
      <c r="G80" s="64"/>
      <c r="H80" s="66"/>
      <c r="I80" s="66"/>
      <c r="J80" s="66"/>
      <c r="K80" s="66"/>
      <c r="L80" s="66"/>
      <c r="M80" s="66">
        <v>37500</v>
      </c>
      <c r="N80" s="66"/>
      <c r="O80" s="66"/>
      <c r="P80" s="66"/>
      <c r="Q80" s="66">
        <v>37500</v>
      </c>
      <c r="R80" s="66"/>
      <c r="S80" s="26">
        <v>37500</v>
      </c>
      <c r="T80" s="26"/>
      <c r="U80" s="26"/>
      <c r="V80" s="26"/>
      <c r="W80" s="26">
        <v>37500</v>
      </c>
      <c r="X80" s="26"/>
      <c r="Y80" s="26">
        <v>37500</v>
      </c>
      <c r="AA80" s="26">
        <v>37500</v>
      </c>
      <c r="AC80" s="66">
        <f t="shared" si="98"/>
        <v>37500</v>
      </c>
      <c r="AD80" s="66">
        <f>MAX(K80:S80)</f>
        <v>37500</v>
      </c>
      <c r="AE80" s="66">
        <f>MIN(K80:S80)</f>
        <v>37500</v>
      </c>
      <c r="AG80" s="66">
        <f t="shared" si="99"/>
        <v>0</v>
      </c>
      <c r="AH80" s="66">
        <f t="shared" si="100"/>
        <v>0</v>
      </c>
      <c r="AI80" s="66">
        <f t="shared" si="101"/>
        <v>0</v>
      </c>
      <c r="AK80" s="66">
        <f t="shared" si="102"/>
        <v>0</v>
      </c>
      <c r="AL80" s="66">
        <f t="shared" si="103"/>
        <v>0</v>
      </c>
      <c r="AM80" s="66">
        <f t="shared" si="104"/>
        <v>0</v>
      </c>
    </row>
    <row r="81" spans="1:39" s="5" customFormat="1" ht="12" thickBot="1" x14ac:dyDescent="0.25">
      <c r="A81" s="64"/>
      <c r="B81" s="64"/>
      <c r="C81" s="64"/>
      <c r="D81" s="64"/>
      <c r="E81" s="64"/>
      <c r="F81" s="64" t="s">
        <v>98</v>
      </c>
      <c r="G81" s="64"/>
      <c r="H81" s="66"/>
      <c r="I81" s="69"/>
      <c r="J81" s="66"/>
      <c r="K81" s="69"/>
      <c r="L81" s="66"/>
      <c r="M81" s="69"/>
      <c r="N81" s="66"/>
      <c r="O81" s="69">
        <v>300000</v>
      </c>
      <c r="P81" s="69"/>
      <c r="Q81" s="66">
        <v>150000</v>
      </c>
      <c r="R81" s="66"/>
      <c r="S81" s="29"/>
      <c r="T81" s="29"/>
      <c r="U81" s="29"/>
      <c r="V81" s="26"/>
      <c r="W81" s="29"/>
      <c r="X81" s="26"/>
      <c r="Y81" s="29">
        <v>0</v>
      </c>
      <c r="AA81" s="29">
        <v>0</v>
      </c>
      <c r="AC81" s="69">
        <f t="shared" si="98"/>
        <v>225000</v>
      </c>
      <c r="AD81" s="69">
        <f>MAX(K81:S81)</f>
        <v>300000</v>
      </c>
      <c r="AE81" s="69">
        <f>MIN(K81:S81)</f>
        <v>150000</v>
      </c>
      <c r="AG81" s="69">
        <f t="shared" si="99"/>
        <v>-225000</v>
      </c>
      <c r="AH81" s="69">
        <f t="shared" si="100"/>
        <v>-300000</v>
      </c>
      <c r="AI81" s="69">
        <f t="shared" si="101"/>
        <v>-150000</v>
      </c>
      <c r="AK81" s="69">
        <f t="shared" si="102"/>
        <v>-225000</v>
      </c>
      <c r="AL81" s="69">
        <f t="shared" si="103"/>
        <v>-300000</v>
      </c>
      <c r="AM81" s="69">
        <f t="shared" si="104"/>
        <v>-150000</v>
      </c>
    </row>
    <row r="82" spans="1:39" s="5" customFormat="1" ht="12" thickBot="1" x14ac:dyDescent="0.25">
      <c r="A82" s="64"/>
      <c r="B82" s="64"/>
      <c r="C82" s="64"/>
      <c r="D82" s="64"/>
      <c r="E82" s="64" t="s">
        <v>99</v>
      </c>
      <c r="F82" s="64"/>
      <c r="G82" s="64"/>
      <c r="H82" s="66"/>
      <c r="I82" s="72">
        <f>ROUND(SUM(I78:I81),5)</f>
        <v>0</v>
      </c>
      <c r="J82" s="66"/>
      <c r="K82" s="72">
        <f>ROUND(SUM(K78:K81),5)</f>
        <v>0</v>
      </c>
      <c r="L82" s="66"/>
      <c r="M82" s="72">
        <f>ROUND(SUM(M78:M81),5)</f>
        <v>67500</v>
      </c>
      <c r="N82" s="66"/>
      <c r="O82" s="72">
        <f>ROUND(SUM(O78:O81),5)</f>
        <v>360000</v>
      </c>
      <c r="P82" s="72"/>
      <c r="Q82" s="72">
        <f>ROUND(SUM(Q78:Q81),5)</f>
        <v>247500</v>
      </c>
      <c r="R82" s="72"/>
      <c r="S82" s="39">
        <f>ROUND(SUM(S78:S81),5)</f>
        <v>97500</v>
      </c>
      <c r="T82" s="29"/>
      <c r="U82" s="29"/>
      <c r="V82" s="26"/>
      <c r="W82" s="39">
        <f>ROUND(SUM(W78:W81),5)</f>
        <v>37500</v>
      </c>
      <c r="X82" s="26"/>
      <c r="Y82" s="39">
        <f>ROUND(SUM(Y78:Y81),5)</f>
        <v>97500</v>
      </c>
      <c r="AA82" s="39">
        <f>ROUND(SUM(AA78:AA81),5)</f>
        <v>37500</v>
      </c>
      <c r="AC82" s="72">
        <f>ROUND(SUM(AC78:AC81),5)</f>
        <v>315000</v>
      </c>
      <c r="AD82" s="72">
        <f>ROUND(SUM(AD78:AD81),5)</f>
        <v>397500</v>
      </c>
      <c r="AE82" s="72">
        <f>ROUND(SUM(AE78:AE81),5)</f>
        <v>217500</v>
      </c>
      <c r="AG82" s="72">
        <f>ROUND(SUM(AG78:AG81),5)</f>
        <v>-277500</v>
      </c>
      <c r="AH82" s="72">
        <f>ROUND(SUM(AH78:AH81),5)</f>
        <v>-360000</v>
      </c>
      <c r="AI82" s="72">
        <f>ROUND(SUM(AI78:AI81),5)</f>
        <v>-180000</v>
      </c>
      <c r="AK82" s="72">
        <f>ROUND(SUM(AK78:AK81),5)</f>
        <v>-217500</v>
      </c>
      <c r="AL82" s="72">
        <f>ROUND(SUM(AL78:AL81),5)</f>
        <v>-300000</v>
      </c>
      <c r="AM82" s="72">
        <f>ROUND(SUM(AM78:AM81),5)</f>
        <v>-120000</v>
      </c>
    </row>
    <row r="83" spans="1:39" s="5" customFormat="1" ht="12" thickBot="1" x14ac:dyDescent="0.25">
      <c r="A83" s="64"/>
      <c r="B83" s="64"/>
      <c r="C83" s="64"/>
      <c r="D83" s="64" t="s">
        <v>100</v>
      </c>
      <c r="E83" s="64"/>
      <c r="F83" s="64"/>
      <c r="G83" s="64"/>
      <c r="H83" s="66"/>
      <c r="I83" s="70">
        <f>ROUND(I4+I13+I32+I47+I60+I64+I69+I77+I82,5)</f>
        <v>3114940</v>
      </c>
      <c r="J83" s="66"/>
      <c r="K83" s="70">
        <f>ROUND(K4+K13+K32+K47+K60+K64+K69+K77+K82,5)</f>
        <v>3343296</v>
      </c>
      <c r="L83" s="66"/>
      <c r="M83" s="70">
        <f>ROUND(M4+M13+M32+M47+M60+M64+M69+M77+M82,5)</f>
        <v>3585618</v>
      </c>
      <c r="N83" s="66"/>
      <c r="O83" s="70">
        <f>ROUND(O4+O13+O32+O47+O60+O64+O69+O77+O82,5)</f>
        <v>3852059.68</v>
      </c>
      <c r="P83" s="70"/>
      <c r="Q83" s="70">
        <f>ROUND(Q4+Q13+Q32+Q47+Q60+Q64+Q69+Q77+Q82,5)</f>
        <v>4089773.72</v>
      </c>
      <c r="R83" s="70"/>
      <c r="S83" s="32">
        <f>ROUND(S4+S13+S32+S47+S60+S64+S69+S77+S82,5)</f>
        <v>3595486.06</v>
      </c>
      <c r="T83" s="29"/>
      <c r="U83" s="29"/>
      <c r="V83" s="26"/>
      <c r="W83" s="32">
        <f>ROUND(W4+W13+W32+W47+W60+W64+W69+W77+W82,5)</f>
        <v>3474724.95</v>
      </c>
      <c r="X83" s="26"/>
      <c r="Y83" s="32">
        <f>ROUND(Y4+Y13+Y32+Y47+Y60+Y64+Y69+Y77+Y82,5)</f>
        <v>3704050</v>
      </c>
      <c r="AA83" s="32">
        <f>ROUND(AA4+AA13+AA32+AA47+AA60+AA64+AA69+AA77+AA82,5)</f>
        <v>3720550</v>
      </c>
      <c r="AC83" s="70">
        <f>ROUND(AC4+AC13+AC32+AC47+AC60+AC64+AC69+AC77+AC82,5)</f>
        <v>3820090.7680000002</v>
      </c>
      <c r="AD83" s="70">
        <f>ROUND(AD4+AD13+AD32+AD47+AD60+AD64+AD69+AD77+AD82,5)</f>
        <v>4396318.49</v>
      </c>
      <c r="AE83" s="70">
        <f>ROUND(AE4+AE13+AE32+AE47+AE60+AE64+AE69+AE77+AE82,5)</f>
        <v>2968194.23</v>
      </c>
      <c r="AG83" s="70">
        <f>ROUND(AG4+AG13+AG32+AG47+AG60+AG64+AG69+AG77+AG82,5)</f>
        <v>-451954.00099999999</v>
      </c>
      <c r="AH83" s="70">
        <f>ROUND(AH4+AH13+AH32+AH47+AH60+AH64+AH69+AH77+AH82,5)</f>
        <v>-1110322.07</v>
      </c>
      <c r="AI83" s="70">
        <f>ROUND(AI4+AI13+AI32+AI47+AI60+AI64+AI69+AI77+AI82,5)</f>
        <v>308897.05</v>
      </c>
      <c r="AK83" s="70">
        <f>ROUND(AK4+AK13+AK32+AK47+AK60+AK64+AK69+AK77+AK82,5)</f>
        <v>-217500</v>
      </c>
      <c r="AL83" s="70">
        <f>ROUND(AL4+AL13+AL32+AL47+AL60+AL64+AL69+AL77+AL82,5)</f>
        <v>-300000</v>
      </c>
      <c r="AM83" s="70">
        <f>ROUND(AM4+AM13+AM32+AM47+AM60+AM64+AM69+AM77+AM82,5)</f>
        <v>-120000</v>
      </c>
    </row>
    <row r="84" spans="1:39" s="5" customFormat="1" x14ac:dyDescent="0.2">
      <c r="A84" s="64"/>
      <c r="B84" s="64"/>
      <c r="C84" s="64" t="s">
        <v>101</v>
      </c>
      <c r="D84" s="64"/>
      <c r="E84" s="64"/>
      <c r="F84" s="64"/>
      <c r="G84" s="64"/>
      <c r="H84" s="66"/>
      <c r="I84" s="66">
        <f>I83</f>
        <v>3114940</v>
      </c>
      <c r="J84" s="66"/>
      <c r="K84" s="66">
        <f>K83</f>
        <v>3343296</v>
      </c>
      <c r="L84" s="66"/>
      <c r="M84" s="66">
        <f>M83</f>
        <v>3585618</v>
      </c>
      <c r="N84" s="66"/>
      <c r="O84" s="66">
        <f>O83</f>
        <v>3852059.68</v>
      </c>
      <c r="P84" s="66"/>
      <c r="Q84" s="66">
        <f>Q83</f>
        <v>4089773.72</v>
      </c>
      <c r="R84" s="66"/>
      <c r="S84" s="26">
        <f>S83</f>
        <v>3595486.06</v>
      </c>
      <c r="T84" s="26"/>
      <c r="U84" s="26"/>
      <c r="V84" s="26"/>
      <c r="W84" s="26">
        <f>W83</f>
        <v>3474724.95</v>
      </c>
      <c r="X84" s="26"/>
      <c r="Y84" s="26">
        <f>Y83</f>
        <v>3704050</v>
      </c>
      <c r="AA84" s="26">
        <f>AA83</f>
        <v>3720550</v>
      </c>
      <c r="AC84" s="66">
        <f>AC83</f>
        <v>3820090.7680000002</v>
      </c>
      <c r="AD84" s="66">
        <f>AD83</f>
        <v>4396318.49</v>
      </c>
      <c r="AE84" s="66">
        <f>AE83</f>
        <v>2968194.23</v>
      </c>
      <c r="AG84" s="66">
        <f>AG83</f>
        <v>-451954.00099999999</v>
      </c>
      <c r="AH84" s="66">
        <f>AH83</f>
        <v>-1110322.07</v>
      </c>
      <c r="AI84" s="66">
        <f>AI83</f>
        <v>308897.05</v>
      </c>
      <c r="AK84" s="66">
        <f>AK83</f>
        <v>-217500</v>
      </c>
      <c r="AL84" s="66">
        <f>AL83</f>
        <v>-300000</v>
      </c>
      <c r="AM84" s="66">
        <f>AM83</f>
        <v>-120000</v>
      </c>
    </row>
    <row r="85" spans="1:39" s="5" customFormat="1" x14ac:dyDescent="0.2">
      <c r="A85" s="64"/>
      <c r="B85" s="64"/>
      <c r="C85" s="64"/>
      <c r="D85" s="64"/>
      <c r="E85" s="64"/>
      <c r="F85" s="64"/>
      <c r="G85" s="64"/>
      <c r="H85" s="66"/>
      <c r="I85" s="66"/>
      <c r="J85" s="66"/>
      <c r="K85" s="66"/>
      <c r="L85" s="66"/>
      <c r="M85" s="66"/>
      <c r="N85" s="66"/>
      <c r="O85" s="66"/>
      <c r="P85" s="66"/>
      <c r="Q85" s="66"/>
      <c r="R85" s="66"/>
      <c r="S85" s="26"/>
      <c r="T85" s="26"/>
      <c r="U85" s="26"/>
      <c r="V85" s="26"/>
      <c r="W85" s="26"/>
      <c r="X85" s="26"/>
      <c r="Y85" s="26"/>
      <c r="AA85" s="26"/>
      <c r="AC85" s="66"/>
      <c r="AD85" s="66"/>
      <c r="AE85" s="66"/>
      <c r="AG85" s="66"/>
      <c r="AH85" s="66"/>
      <c r="AI85" s="66"/>
      <c r="AK85" s="66"/>
      <c r="AL85" s="66"/>
      <c r="AM85" s="66"/>
    </row>
    <row r="86" spans="1:39" s="5" customFormat="1" x14ac:dyDescent="0.2">
      <c r="A86" s="64"/>
      <c r="B86" s="64"/>
      <c r="C86" s="64"/>
      <c r="D86" s="73" t="s">
        <v>102</v>
      </c>
      <c r="E86" s="64"/>
      <c r="F86" s="64"/>
      <c r="G86" s="64"/>
      <c r="H86" s="66"/>
      <c r="I86" s="66"/>
      <c r="J86" s="66"/>
      <c r="K86" s="66"/>
      <c r="L86" s="66"/>
      <c r="M86" s="66"/>
      <c r="N86" s="66"/>
      <c r="O86" s="66"/>
      <c r="P86" s="66"/>
      <c r="Q86" s="66"/>
      <c r="R86" s="66"/>
      <c r="S86" s="26"/>
      <c r="T86" s="26"/>
      <c r="U86" s="26"/>
      <c r="V86" s="26"/>
      <c r="W86" s="26"/>
      <c r="X86" s="26"/>
      <c r="Y86" s="26"/>
      <c r="AA86" s="26"/>
      <c r="AC86" s="66"/>
      <c r="AD86" s="66"/>
      <c r="AE86" s="66"/>
      <c r="AG86" s="66"/>
      <c r="AH86" s="66"/>
      <c r="AI86" s="66"/>
      <c r="AK86" s="66"/>
      <c r="AL86" s="66"/>
      <c r="AM86" s="66"/>
    </row>
    <row r="87" spans="1:39" s="5" customFormat="1" x14ac:dyDescent="0.2">
      <c r="A87" s="64"/>
      <c r="B87" s="64"/>
      <c r="C87" s="64"/>
      <c r="D87" s="64"/>
      <c r="E87" s="64"/>
      <c r="F87" s="64"/>
      <c r="G87" s="64"/>
      <c r="H87" s="66"/>
      <c r="I87" s="66"/>
      <c r="J87" s="66"/>
      <c r="K87" s="66"/>
      <c r="L87" s="66"/>
      <c r="M87" s="66"/>
      <c r="N87" s="66"/>
      <c r="O87" s="66"/>
      <c r="P87" s="66"/>
      <c r="Q87" s="66"/>
      <c r="R87" s="66"/>
      <c r="S87" s="26"/>
      <c r="T87" s="26"/>
      <c r="U87" s="26"/>
      <c r="V87" s="26"/>
      <c r="W87" s="26"/>
      <c r="X87" s="26"/>
      <c r="Y87" s="26"/>
      <c r="AA87" s="26"/>
      <c r="AC87" s="66"/>
      <c r="AD87" s="66"/>
      <c r="AE87" s="66"/>
      <c r="AG87" s="66"/>
      <c r="AH87" s="66"/>
      <c r="AI87" s="66"/>
      <c r="AK87" s="66"/>
      <c r="AL87" s="66"/>
      <c r="AM87" s="66"/>
    </row>
    <row r="88" spans="1:39" s="5" customFormat="1" x14ac:dyDescent="0.2">
      <c r="A88" s="64"/>
      <c r="B88" s="64"/>
      <c r="C88" s="64"/>
      <c r="D88" s="64"/>
      <c r="E88" s="73" t="s">
        <v>103</v>
      </c>
      <c r="F88" s="64"/>
      <c r="G88" s="64"/>
      <c r="H88" s="66"/>
      <c r="I88" s="66"/>
      <c r="J88" s="66"/>
      <c r="K88" s="66"/>
      <c r="L88" s="66"/>
      <c r="M88" s="66"/>
      <c r="N88" s="66"/>
      <c r="O88" s="66"/>
      <c r="P88" s="66"/>
      <c r="Q88" s="66"/>
      <c r="R88" s="66"/>
      <c r="S88" s="26"/>
      <c r="T88" s="26"/>
      <c r="U88" s="26"/>
      <c r="V88" s="26"/>
      <c r="W88" s="26"/>
      <c r="X88" s="26"/>
      <c r="Y88" s="26"/>
      <c r="AA88" s="26"/>
      <c r="AC88" s="66"/>
      <c r="AD88" s="66"/>
      <c r="AE88" s="66"/>
      <c r="AG88" s="66"/>
      <c r="AH88" s="66"/>
      <c r="AI88" s="66"/>
      <c r="AK88" s="66"/>
      <c r="AL88" s="66"/>
      <c r="AM88" s="66"/>
    </row>
    <row r="89" spans="1:39" s="5" customFormat="1" x14ac:dyDescent="0.2">
      <c r="A89" s="64"/>
      <c r="B89" s="64"/>
      <c r="C89" s="64"/>
      <c r="D89" s="64"/>
      <c r="E89" s="64"/>
      <c r="F89" s="64" t="s">
        <v>104</v>
      </c>
      <c r="G89" s="64"/>
      <c r="H89" s="66"/>
      <c r="I89" s="66"/>
      <c r="J89" s="66"/>
      <c r="K89" s="66"/>
      <c r="L89" s="66"/>
      <c r="M89" s="66"/>
      <c r="N89" s="66"/>
      <c r="O89" s="66"/>
      <c r="P89" s="66"/>
      <c r="Q89" s="66"/>
      <c r="R89" s="66"/>
      <c r="S89" s="26"/>
      <c r="T89" s="26"/>
      <c r="U89" s="26"/>
      <c r="V89" s="26"/>
      <c r="W89" s="26"/>
      <c r="X89" s="26"/>
      <c r="Y89" s="26"/>
      <c r="AA89" s="26"/>
      <c r="AC89" s="66"/>
      <c r="AD89" s="66"/>
      <c r="AE89" s="66"/>
      <c r="AG89" s="66"/>
      <c r="AH89" s="66"/>
      <c r="AI89" s="66"/>
      <c r="AK89" s="66"/>
      <c r="AL89" s="66"/>
      <c r="AM89" s="66"/>
    </row>
    <row r="90" spans="1:39" s="5" customFormat="1" x14ac:dyDescent="0.2">
      <c r="A90" s="64"/>
      <c r="B90" s="64"/>
      <c r="C90" s="64"/>
      <c r="D90" s="64"/>
      <c r="E90" s="64"/>
      <c r="F90" s="64"/>
      <c r="G90" s="64" t="s">
        <v>105</v>
      </c>
      <c r="H90" s="66"/>
      <c r="I90" s="66">
        <v>26666</v>
      </c>
      <c r="J90" s="66"/>
      <c r="K90" s="66">
        <v>29236</v>
      </c>
      <c r="L90" s="66"/>
      <c r="M90" s="66">
        <v>32191</v>
      </c>
      <c r="N90" s="66"/>
      <c r="O90" s="66">
        <v>32213.9</v>
      </c>
      <c r="P90" s="66"/>
      <c r="Q90" s="66">
        <v>27207.599999999999</v>
      </c>
      <c r="R90" s="66"/>
      <c r="S90" s="26">
        <v>30200.17</v>
      </c>
      <c r="T90" s="26"/>
      <c r="U90" s="26"/>
      <c r="V90" s="26"/>
      <c r="W90" s="26">
        <v>23754.79</v>
      </c>
      <c r="X90" s="26"/>
      <c r="Y90" s="26">
        <v>35000</v>
      </c>
      <c r="AA90" s="26">
        <v>35000</v>
      </c>
      <c r="AC90" s="66">
        <f t="shared" ref="AC90:AC108" si="105">AVERAGE(K90:S90)</f>
        <v>30209.733999999997</v>
      </c>
      <c r="AD90" s="66">
        <f t="shared" ref="AD90:AD113" si="106">MAX(K90:S90)</f>
        <v>32213.9</v>
      </c>
      <c r="AE90" s="66">
        <f t="shared" ref="AE90:AE113" si="107">MIN(K90:S90)</f>
        <v>27207.599999999999</v>
      </c>
      <c r="AG90" s="66">
        <f t="shared" ref="AG90:AG113" si="108">+W90-AC90</f>
        <v>-6454.9439999999959</v>
      </c>
      <c r="AH90" s="66">
        <f t="shared" ref="AH90:AH113" si="109">+W90-AD90</f>
        <v>-8459.11</v>
      </c>
      <c r="AI90" s="66">
        <f t="shared" ref="AI90:AI113" si="110">+W90-AE90</f>
        <v>-3452.8099999999977</v>
      </c>
      <c r="AK90" s="66">
        <f t="shared" ref="AK90:AK113" si="111">+Y90-AC90</f>
        <v>4790.2660000000033</v>
      </c>
      <c r="AL90" s="66">
        <f t="shared" ref="AL90:AL113" si="112">+Y90-AD90</f>
        <v>2786.0999999999985</v>
      </c>
      <c r="AM90" s="66">
        <f t="shared" ref="AM90:AM113" si="113">+Y90-AE90</f>
        <v>7792.4000000000015</v>
      </c>
    </row>
    <row r="91" spans="1:39" s="5" customFormat="1" x14ac:dyDescent="0.2">
      <c r="A91" s="64"/>
      <c r="B91" s="64"/>
      <c r="C91" s="64"/>
      <c r="D91" s="64"/>
      <c r="E91" s="64"/>
      <c r="F91" s="64"/>
      <c r="G91" s="64" t="s">
        <v>106</v>
      </c>
      <c r="H91" s="66"/>
      <c r="I91" s="66">
        <v>5765</v>
      </c>
      <c r="J91" s="66"/>
      <c r="K91" s="66">
        <v>6464</v>
      </c>
      <c r="L91" s="66"/>
      <c r="M91" s="66">
        <v>6041</v>
      </c>
      <c r="N91" s="66"/>
      <c r="O91" s="66">
        <v>7678.54</v>
      </c>
      <c r="P91" s="66"/>
      <c r="Q91" s="66">
        <v>6378.18</v>
      </c>
      <c r="R91" s="66"/>
      <c r="S91" s="26">
        <v>6186.78</v>
      </c>
      <c r="T91" s="26"/>
      <c r="U91" s="26"/>
      <c r="V91" s="26"/>
      <c r="W91" s="26">
        <v>12943.58</v>
      </c>
      <c r="X91" s="26"/>
      <c r="Y91" s="26">
        <v>6000</v>
      </c>
      <c r="AA91" s="26">
        <f>0.01*(AA7+AA8)</f>
        <v>7500</v>
      </c>
      <c r="AC91" s="66">
        <f t="shared" si="105"/>
        <v>6549.7</v>
      </c>
      <c r="AD91" s="66">
        <f t="shared" si="106"/>
        <v>7678.54</v>
      </c>
      <c r="AE91" s="66">
        <f t="shared" si="107"/>
        <v>6041</v>
      </c>
      <c r="AG91" s="66">
        <f t="shared" si="108"/>
        <v>6393.88</v>
      </c>
      <c r="AH91" s="66">
        <f t="shared" si="109"/>
        <v>5265.04</v>
      </c>
      <c r="AI91" s="66">
        <f t="shared" si="110"/>
        <v>6902.58</v>
      </c>
      <c r="AK91" s="66">
        <f t="shared" si="111"/>
        <v>-549.69999999999982</v>
      </c>
      <c r="AL91" s="66">
        <f t="shared" si="112"/>
        <v>-1678.54</v>
      </c>
      <c r="AM91" s="66">
        <f t="shared" si="113"/>
        <v>-41</v>
      </c>
    </row>
    <row r="92" spans="1:39" s="5" customFormat="1" x14ac:dyDescent="0.2">
      <c r="A92" s="64"/>
      <c r="B92" s="64"/>
      <c r="C92" s="64"/>
      <c r="D92" s="64"/>
      <c r="E92" s="64"/>
      <c r="F92" s="64"/>
      <c r="G92" s="64" t="s">
        <v>107</v>
      </c>
      <c r="H92" s="66"/>
      <c r="I92" s="66">
        <v>10396</v>
      </c>
      <c r="J92" s="66"/>
      <c r="K92" s="66">
        <v>15145</v>
      </c>
      <c r="L92" s="66"/>
      <c r="M92" s="66">
        <v>9080</v>
      </c>
      <c r="N92" s="66"/>
      <c r="O92" s="66">
        <v>6545.68</v>
      </c>
      <c r="P92" s="66"/>
      <c r="Q92" s="66">
        <v>11182.13</v>
      </c>
      <c r="R92" s="66"/>
      <c r="S92" s="26">
        <v>2943.03</v>
      </c>
      <c r="T92" s="26"/>
      <c r="U92" s="26"/>
      <c r="V92" s="26"/>
      <c r="W92" s="26">
        <v>1463.33</v>
      </c>
      <c r="X92" s="26"/>
      <c r="Y92" s="26">
        <v>3000</v>
      </c>
      <c r="AA92" s="26">
        <v>0</v>
      </c>
      <c r="AC92" s="66">
        <f t="shared" si="105"/>
        <v>8979.1679999999997</v>
      </c>
      <c r="AD92" s="66">
        <f t="shared" si="106"/>
        <v>15145</v>
      </c>
      <c r="AE92" s="66">
        <f t="shared" si="107"/>
        <v>2943.03</v>
      </c>
      <c r="AG92" s="66">
        <f t="shared" si="108"/>
        <v>-7515.8379999999997</v>
      </c>
      <c r="AH92" s="66">
        <f t="shared" si="109"/>
        <v>-13681.67</v>
      </c>
      <c r="AI92" s="66">
        <f t="shared" si="110"/>
        <v>-1479.7000000000003</v>
      </c>
      <c r="AK92" s="66">
        <f t="shared" si="111"/>
        <v>-5979.1679999999997</v>
      </c>
      <c r="AL92" s="66">
        <f t="shared" si="112"/>
        <v>-12145</v>
      </c>
      <c r="AM92" s="66">
        <f t="shared" si="113"/>
        <v>56.9699999999998</v>
      </c>
    </row>
    <row r="93" spans="1:39" s="43" customFormat="1" x14ac:dyDescent="0.2">
      <c r="A93" s="64"/>
      <c r="B93" s="64"/>
      <c r="C93" s="64"/>
      <c r="D93" s="64"/>
      <c r="E93" s="64"/>
      <c r="F93" s="5"/>
      <c r="G93" s="64" t="s">
        <v>108</v>
      </c>
      <c r="H93" s="66"/>
      <c r="I93" s="69"/>
      <c r="J93" s="69"/>
      <c r="K93" s="69">
        <v>657</v>
      </c>
      <c r="L93" s="69"/>
      <c r="M93" s="69">
        <v>1272</v>
      </c>
      <c r="N93" s="69"/>
      <c r="O93" s="69">
        <v>1614.58</v>
      </c>
      <c r="P93" s="69"/>
      <c r="Q93" s="69">
        <v>1630.56</v>
      </c>
      <c r="R93" s="69"/>
      <c r="S93" s="26">
        <v>2987.59</v>
      </c>
      <c r="T93" s="29"/>
      <c r="U93" s="29"/>
      <c r="V93" s="29"/>
      <c r="W93" s="26">
        <v>3126.52</v>
      </c>
      <c r="X93" s="29"/>
      <c r="Y93" s="29">
        <v>3000</v>
      </c>
      <c r="AA93" s="29">
        <v>3000</v>
      </c>
      <c r="AC93" s="69">
        <f t="shared" si="105"/>
        <v>1632.346</v>
      </c>
      <c r="AD93" s="69">
        <f t="shared" si="106"/>
        <v>2987.59</v>
      </c>
      <c r="AE93" s="69">
        <f t="shared" si="107"/>
        <v>657</v>
      </c>
      <c r="AG93" s="69">
        <f t="shared" si="108"/>
        <v>1494.174</v>
      </c>
      <c r="AH93" s="69">
        <f t="shared" si="109"/>
        <v>138.92999999999984</v>
      </c>
      <c r="AI93" s="69">
        <f t="shared" si="110"/>
        <v>2469.52</v>
      </c>
      <c r="AK93" s="69">
        <f t="shared" si="111"/>
        <v>1367.654</v>
      </c>
      <c r="AL93" s="69">
        <f t="shared" si="112"/>
        <v>12.409999999999854</v>
      </c>
      <c r="AM93" s="69">
        <f t="shared" si="113"/>
        <v>2343</v>
      </c>
    </row>
    <row r="94" spans="1:39" s="5" customFormat="1" x14ac:dyDescent="0.2">
      <c r="A94" s="64"/>
      <c r="B94" s="64"/>
      <c r="C94" s="64"/>
      <c r="D94" s="64"/>
      <c r="E94" s="64"/>
      <c r="F94" s="64"/>
      <c r="G94" s="64" t="s">
        <v>109</v>
      </c>
      <c r="H94" s="66"/>
      <c r="I94" s="66">
        <v>3429</v>
      </c>
      <c r="J94" s="66"/>
      <c r="K94" s="66">
        <v>3112</v>
      </c>
      <c r="L94" s="66"/>
      <c r="M94" s="66">
        <v>3688</v>
      </c>
      <c r="N94" s="66"/>
      <c r="O94" s="66">
        <v>9563.14</v>
      </c>
      <c r="P94" s="66"/>
      <c r="Q94" s="66">
        <v>1915.3</v>
      </c>
      <c r="R94" s="66"/>
      <c r="S94" s="26">
        <v>5869.79</v>
      </c>
      <c r="T94" s="26"/>
      <c r="U94" s="26"/>
      <c r="V94" s="26"/>
      <c r="W94" s="26">
        <v>297.83</v>
      </c>
      <c r="X94" s="26"/>
      <c r="Y94" s="26">
        <v>5000</v>
      </c>
      <c r="AA94" s="26">
        <v>2000</v>
      </c>
      <c r="AC94" s="66">
        <f t="shared" si="105"/>
        <v>4829.6459999999997</v>
      </c>
      <c r="AD94" s="66">
        <f t="shared" si="106"/>
        <v>9563.14</v>
      </c>
      <c r="AE94" s="66">
        <f t="shared" si="107"/>
        <v>1915.3</v>
      </c>
      <c r="AG94" s="66">
        <f t="shared" si="108"/>
        <v>-4531.8159999999998</v>
      </c>
      <c r="AH94" s="66">
        <f t="shared" si="109"/>
        <v>-9265.31</v>
      </c>
      <c r="AI94" s="66">
        <f t="shared" si="110"/>
        <v>-1617.47</v>
      </c>
      <c r="AK94" s="66">
        <f t="shared" si="111"/>
        <v>170.35400000000027</v>
      </c>
      <c r="AL94" s="66">
        <f t="shared" si="112"/>
        <v>-4563.1399999999994</v>
      </c>
      <c r="AM94" s="66">
        <f t="shared" si="113"/>
        <v>3084.7</v>
      </c>
    </row>
    <row r="95" spans="1:39" s="5" customFormat="1" x14ac:dyDescent="0.2">
      <c r="A95" s="64"/>
      <c r="B95" s="64"/>
      <c r="C95" s="64"/>
      <c r="D95" s="64"/>
      <c r="E95" s="64"/>
      <c r="F95" s="64"/>
      <c r="G95" s="64" t="s">
        <v>110</v>
      </c>
      <c r="H95" s="66"/>
      <c r="I95" s="66">
        <v>4204</v>
      </c>
      <c r="J95" s="66"/>
      <c r="K95" s="66">
        <v>4860</v>
      </c>
      <c r="L95" s="66"/>
      <c r="M95" s="66">
        <v>2019</v>
      </c>
      <c r="N95" s="66"/>
      <c r="O95" s="66">
        <v>2233.83</v>
      </c>
      <c r="P95" s="66"/>
      <c r="Q95" s="66">
        <v>1404.87</v>
      </c>
      <c r="R95" s="66"/>
      <c r="S95" s="26">
        <v>1932.39</v>
      </c>
      <c r="T95" s="26"/>
      <c r="U95" s="26"/>
      <c r="V95" s="26"/>
      <c r="W95" s="26">
        <v>6513.92</v>
      </c>
      <c r="X95" s="26"/>
      <c r="Y95" s="26">
        <v>2000</v>
      </c>
      <c r="AA95" s="26">
        <v>5000</v>
      </c>
      <c r="AC95" s="66">
        <f t="shared" si="105"/>
        <v>2490.018</v>
      </c>
      <c r="AD95" s="66">
        <f t="shared" si="106"/>
        <v>4860</v>
      </c>
      <c r="AE95" s="66">
        <f t="shared" si="107"/>
        <v>1404.87</v>
      </c>
      <c r="AG95" s="66">
        <f t="shared" si="108"/>
        <v>4023.902</v>
      </c>
      <c r="AH95" s="66">
        <f t="shared" si="109"/>
        <v>1653.92</v>
      </c>
      <c r="AI95" s="66">
        <f t="shared" si="110"/>
        <v>5109.05</v>
      </c>
      <c r="AK95" s="66">
        <f t="shared" si="111"/>
        <v>-490.01800000000003</v>
      </c>
      <c r="AL95" s="66">
        <f t="shared" si="112"/>
        <v>-2860</v>
      </c>
      <c r="AM95" s="66">
        <f t="shared" si="113"/>
        <v>595.13000000000011</v>
      </c>
    </row>
    <row r="96" spans="1:39" s="5" customFormat="1" x14ac:dyDescent="0.2">
      <c r="A96" s="64"/>
      <c r="B96" s="64"/>
      <c r="C96" s="64"/>
      <c r="D96" s="64"/>
      <c r="E96" s="64"/>
      <c r="F96" s="64"/>
      <c r="G96" s="68" t="s">
        <v>111</v>
      </c>
      <c r="H96" s="66"/>
      <c r="I96" s="66">
        <v>5150</v>
      </c>
      <c r="J96" s="66"/>
      <c r="K96" s="66">
        <v>6650</v>
      </c>
      <c r="L96" s="66"/>
      <c r="M96" s="66">
        <v>6450</v>
      </c>
      <c r="N96" s="66"/>
      <c r="O96" s="66">
        <v>18624.55</v>
      </c>
      <c r="P96" s="66"/>
      <c r="Q96" s="66">
        <v>6303.43</v>
      </c>
      <c r="R96" s="66"/>
      <c r="S96" s="26">
        <v>7112.9</v>
      </c>
      <c r="T96" s="26"/>
      <c r="U96" s="26"/>
      <c r="V96" s="26"/>
      <c r="W96" s="26">
        <v>0</v>
      </c>
      <c r="X96" s="26"/>
      <c r="Y96" s="26">
        <v>7500</v>
      </c>
      <c r="AA96" s="26">
        <v>5000</v>
      </c>
      <c r="AC96" s="66">
        <f t="shared" si="105"/>
        <v>9028.1759999999995</v>
      </c>
      <c r="AD96" s="66">
        <f t="shared" si="106"/>
        <v>18624.55</v>
      </c>
      <c r="AE96" s="66">
        <f t="shared" si="107"/>
        <v>6303.43</v>
      </c>
      <c r="AG96" s="66">
        <f t="shared" si="108"/>
        <v>-9028.1759999999995</v>
      </c>
      <c r="AH96" s="66">
        <f t="shared" si="109"/>
        <v>-18624.55</v>
      </c>
      <c r="AI96" s="66">
        <f t="shared" si="110"/>
        <v>-6303.43</v>
      </c>
      <c r="AK96" s="66">
        <f t="shared" si="111"/>
        <v>-1528.1759999999995</v>
      </c>
      <c r="AL96" s="66">
        <f t="shared" si="112"/>
        <v>-11124.55</v>
      </c>
      <c r="AM96" s="66">
        <f t="shared" si="113"/>
        <v>1196.5699999999997</v>
      </c>
    </row>
    <row r="97" spans="1:39" s="5" customFormat="1" x14ac:dyDescent="0.2">
      <c r="A97" s="64"/>
      <c r="B97" s="64"/>
      <c r="C97" s="64"/>
      <c r="D97" s="64"/>
      <c r="E97" s="64"/>
      <c r="F97" s="64"/>
      <c r="G97" s="68" t="s">
        <v>112</v>
      </c>
      <c r="H97" s="66"/>
      <c r="I97" s="66">
        <v>3997</v>
      </c>
      <c r="J97" s="66"/>
      <c r="K97" s="66">
        <v>5190</v>
      </c>
      <c r="L97" s="66"/>
      <c r="M97" s="66">
        <v>6583</v>
      </c>
      <c r="N97" s="66"/>
      <c r="O97" s="66">
        <v>2189.41</v>
      </c>
      <c r="P97" s="66"/>
      <c r="Q97" s="66">
        <v>1305</v>
      </c>
      <c r="R97" s="66"/>
      <c r="S97" s="26">
        <v>2799.97</v>
      </c>
      <c r="T97" s="26"/>
      <c r="U97" s="26"/>
      <c r="V97" s="26"/>
      <c r="W97" s="26">
        <v>1195</v>
      </c>
      <c r="X97" s="26"/>
      <c r="Y97" s="26">
        <v>5000</v>
      </c>
      <c r="AA97" s="26">
        <v>3000</v>
      </c>
      <c r="AC97" s="66">
        <f t="shared" si="105"/>
        <v>3613.4760000000001</v>
      </c>
      <c r="AD97" s="66">
        <f t="shared" si="106"/>
        <v>6583</v>
      </c>
      <c r="AE97" s="66">
        <f t="shared" si="107"/>
        <v>1305</v>
      </c>
      <c r="AG97" s="66">
        <f t="shared" si="108"/>
        <v>-2418.4760000000001</v>
      </c>
      <c r="AH97" s="66">
        <f t="shared" si="109"/>
        <v>-5388</v>
      </c>
      <c r="AI97" s="66">
        <f t="shared" si="110"/>
        <v>-110</v>
      </c>
      <c r="AK97" s="66">
        <f t="shared" si="111"/>
        <v>1386.5239999999999</v>
      </c>
      <c r="AL97" s="66">
        <f t="shared" si="112"/>
        <v>-1583</v>
      </c>
      <c r="AM97" s="66">
        <f t="shared" si="113"/>
        <v>3695</v>
      </c>
    </row>
    <row r="98" spans="1:39" s="5" customFormat="1" x14ac:dyDescent="0.2">
      <c r="A98" s="64"/>
      <c r="B98" s="64"/>
      <c r="C98" s="64"/>
      <c r="D98" s="64"/>
      <c r="E98" s="64"/>
      <c r="F98" s="64"/>
      <c r="G98" s="64" t="s">
        <v>113</v>
      </c>
      <c r="H98" s="66"/>
      <c r="I98" s="66">
        <v>81313</v>
      </c>
      <c r="J98" s="66"/>
      <c r="K98" s="66">
        <v>106812</v>
      </c>
      <c r="L98" s="66"/>
      <c r="M98" s="66">
        <v>69269</v>
      </c>
      <c r="N98" s="66"/>
      <c r="O98" s="66">
        <v>36606.35</v>
      </c>
      <c r="P98" s="66"/>
      <c r="Q98" s="66">
        <v>93775.72</v>
      </c>
      <c r="R98" s="66"/>
      <c r="S98" s="26">
        <v>67444.77</v>
      </c>
      <c r="T98" s="26"/>
      <c r="U98" s="26"/>
      <c r="V98" s="26"/>
      <c r="W98" s="26">
        <v>49562.19</v>
      </c>
      <c r="X98" s="26"/>
      <c r="Y98" s="26">
        <v>63000</v>
      </c>
      <c r="AA98" s="26">
        <v>60000</v>
      </c>
      <c r="AC98" s="66">
        <f t="shared" si="105"/>
        <v>74781.567999999999</v>
      </c>
      <c r="AD98" s="66">
        <f t="shared" si="106"/>
        <v>106812</v>
      </c>
      <c r="AE98" s="66">
        <f t="shared" si="107"/>
        <v>36606.35</v>
      </c>
      <c r="AG98" s="66">
        <f t="shared" si="108"/>
        <v>-25219.377999999997</v>
      </c>
      <c r="AH98" s="66">
        <f t="shared" si="109"/>
        <v>-57249.81</v>
      </c>
      <c r="AI98" s="66">
        <f t="shared" si="110"/>
        <v>12955.840000000004</v>
      </c>
      <c r="AK98" s="66">
        <f t="shared" si="111"/>
        <v>-11781.567999999999</v>
      </c>
      <c r="AL98" s="66">
        <f t="shared" si="112"/>
        <v>-43812</v>
      </c>
      <c r="AM98" s="66">
        <f t="shared" si="113"/>
        <v>26393.65</v>
      </c>
    </row>
    <row r="99" spans="1:39" s="5" customFormat="1" x14ac:dyDescent="0.2">
      <c r="A99" s="64"/>
      <c r="B99" s="64"/>
      <c r="C99" s="64"/>
      <c r="D99" s="64"/>
      <c r="E99" s="64"/>
      <c r="F99" s="64"/>
      <c r="G99" s="64" t="s">
        <v>114</v>
      </c>
      <c r="H99" s="66"/>
      <c r="I99" s="66">
        <v>135000</v>
      </c>
      <c r="J99" s="66"/>
      <c r="K99" s="66">
        <v>77794</v>
      </c>
      <c r="L99" s="66"/>
      <c r="M99" s="66">
        <v>32035</v>
      </c>
      <c r="N99" s="66"/>
      <c r="O99" s="66">
        <v>471851.13</v>
      </c>
      <c r="P99" s="66"/>
      <c r="Q99" s="66">
        <v>11983.9</v>
      </c>
      <c r="R99" s="66"/>
      <c r="S99" s="26">
        <v>236965.31</v>
      </c>
      <c r="T99" s="26"/>
      <c r="U99" s="26"/>
      <c r="V99" s="26"/>
      <c r="W99" s="26">
        <v>2373</v>
      </c>
      <c r="X99" s="26"/>
      <c r="Y99" s="26">
        <v>42000</v>
      </c>
      <c r="AA99" s="26">
        <v>20000</v>
      </c>
      <c r="AC99" s="66">
        <f t="shared" si="105"/>
        <v>166125.86800000002</v>
      </c>
      <c r="AD99" s="66">
        <f t="shared" si="106"/>
        <v>471851.13</v>
      </c>
      <c r="AE99" s="66">
        <f t="shared" si="107"/>
        <v>11983.9</v>
      </c>
      <c r="AG99" s="66">
        <f t="shared" si="108"/>
        <v>-163752.86800000002</v>
      </c>
      <c r="AH99" s="66">
        <f t="shared" si="109"/>
        <v>-469478.13</v>
      </c>
      <c r="AI99" s="66">
        <f t="shared" si="110"/>
        <v>-9610.9</v>
      </c>
      <c r="AK99" s="66">
        <f t="shared" si="111"/>
        <v>-124125.86800000002</v>
      </c>
      <c r="AL99" s="66">
        <f t="shared" si="112"/>
        <v>-429851.13</v>
      </c>
      <c r="AM99" s="66">
        <f t="shared" si="113"/>
        <v>30016.1</v>
      </c>
    </row>
    <row r="100" spans="1:39" s="5" customFormat="1" x14ac:dyDescent="0.2">
      <c r="A100" s="64"/>
      <c r="B100" s="64"/>
      <c r="C100" s="64"/>
      <c r="D100" s="64"/>
      <c r="E100" s="64"/>
      <c r="F100" s="64"/>
      <c r="G100" s="64" t="s">
        <v>115</v>
      </c>
      <c r="H100" s="66"/>
      <c r="I100" s="66">
        <v>15750</v>
      </c>
      <c r="J100" s="66"/>
      <c r="K100" s="66">
        <v>16550</v>
      </c>
      <c r="L100" s="66"/>
      <c r="M100" s="66">
        <v>17000</v>
      </c>
      <c r="N100" s="66"/>
      <c r="O100" s="66">
        <v>17750</v>
      </c>
      <c r="P100" s="66"/>
      <c r="Q100" s="66">
        <v>19762.5</v>
      </c>
      <c r="R100" s="66"/>
      <c r="S100" s="26">
        <v>20060</v>
      </c>
      <c r="T100" s="26"/>
      <c r="U100" s="26"/>
      <c r="V100" s="26"/>
      <c r="W100" s="26">
        <v>21000</v>
      </c>
      <c r="X100" s="26"/>
      <c r="Y100" s="26">
        <v>20750</v>
      </c>
      <c r="AA100" s="26">
        <v>22000</v>
      </c>
      <c r="AC100" s="66">
        <f t="shared" si="105"/>
        <v>18224.5</v>
      </c>
      <c r="AD100" s="66">
        <f t="shared" si="106"/>
        <v>20060</v>
      </c>
      <c r="AE100" s="66">
        <f t="shared" si="107"/>
        <v>16550</v>
      </c>
      <c r="AG100" s="66">
        <f t="shared" si="108"/>
        <v>2775.5</v>
      </c>
      <c r="AH100" s="66">
        <f t="shared" si="109"/>
        <v>940</v>
      </c>
      <c r="AI100" s="66">
        <f t="shared" si="110"/>
        <v>4450</v>
      </c>
      <c r="AK100" s="66">
        <f t="shared" si="111"/>
        <v>2525.5</v>
      </c>
      <c r="AL100" s="66">
        <f t="shared" si="112"/>
        <v>690</v>
      </c>
      <c r="AM100" s="66">
        <f t="shared" si="113"/>
        <v>4200</v>
      </c>
    </row>
    <row r="101" spans="1:39" s="5" customFormat="1" x14ac:dyDescent="0.2">
      <c r="A101" s="64"/>
      <c r="B101" s="64"/>
      <c r="C101" s="64"/>
      <c r="D101" s="64"/>
      <c r="E101" s="64"/>
      <c r="F101" s="64"/>
      <c r="G101" s="64" t="s">
        <v>116</v>
      </c>
      <c r="H101" s="66"/>
      <c r="I101" s="66"/>
      <c r="J101" s="66"/>
      <c r="K101" s="66">
        <v>1462</v>
      </c>
      <c r="L101" s="66"/>
      <c r="M101" s="66">
        <v>853</v>
      </c>
      <c r="N101" s="66"/>
      <c r="O101" s="66">
        <v>22.68</v>
      </c>
      <c r="P101" s="66"/>
      <c r="Q101" s="66">
        <v>2643</v>
      </c>
      <c r="R101" s="66"/>
      <c r="S101" s="26">
        <v>1600</v>
      </c>
      <c r="T101" s="26"/>
      <c r="U101" s="26"/>
      <c r="V101" s="26"/>
      <c r="W101" s="26">
        <v>0</v>
      </c>
      <c r="X101" s="26"/>
      <c r="Y101" s="26">
        <v>2000</v>
      </c>
      <c r="AA101" s="26">
        <v>2000</v>
      </c>
      <c r="AC101" s="66">
        <f t="shared" si="105"/>
        <v>1316.136</v>
      </c>
      <c r="AD101" s="66">
        <f t="shared" si="106"/>
        <v>2643</v>
      </c>
      <c r="AE101" s="66">
        <f t="shared" si="107"/>
        <v>22.68</v>
      </c>
      <c r="AG101" s="66">
        <f t="shared" si="108"/>
        <v>-1316.136</v>
      </c>
      <c r="AH101" s="66">
        <f t="shared" si="109"/>
        <v>-2643</v>
      </c>
      <c r="AI101" s="66">
        <f t="shared" si="110"/>
        <v>-22.68</v>
      </c>
      <c r="AK101" s="66">
        <f t="shared" si="111"/>
        <v>683.86400000000003</v>
      </c>
      <c r="AL101" s="66">
        <f t="shared" si="112"/>
        <v>-643</v>
      </c>
      <c r="AM101" s="66">
        <f t="shared" si="113"/>
        <v>1977.32</v>
      </c>
    </row>
    <row r="102" spans="1:39" s="5" customFormat="1" x14ac:dyDescent="0.2">
      <c r="A102" s="64"/>
      <c r="B102" s="64"/>
      <c r="C102" s="64"/>
      <c r="D102" s="64"/>
      <c r="E102" s="64"/>
      <c r="F102" s="64"/>
      <c r="G102" s="68" t="s">
        <v>117</v>
      </c>
      <c r="H102" s="66"/>
      <c r="I102" s="66">
        <v>8367</v>
      </c>
      <c r="J102" s="66"/>
      <c r="K102" s="66">
        <v>21875</v>
      </c>
      <c r="L102" s="66"/>
      <c r="M102" s="66">
        <v>8361</v>
      </c>
      <c r="N102" s="66"/>
      <c r="O102" s="66">
        <v>934.71</v>
      </c>
      <c r="P102" s="66"/>
      <c r="Q102" s="66">
        <v>3155.88</v>
      </c>
      <c r="R102" s="66"/>
      <c r="S102" s="26">
        <v>3125.2</v>
      </c>
      <c r="T102" s="26"/>
      <c r="U102" s="26"/>
      <c r="V102" s="26"/>
      <c r="W102" s="26">
        <v>969.53</v>
      </c>
      <c r="X102" s="26"/>
      <c r="Y102" s="26">
        <v>3000</v>
      </c>
      <c r="AA102" s="26">
        <v>2000</v>
      </c>
      <c r="AC102" s="66">
        <f t="shared" si="105"/>
        <v>7490.3579999999984</v>
      </c>
      <c r="AD102" s="66">
        <f t="shared" si="106"/>
        <v>21875</v>
      </c>
      <c r="AE102" s="66">
        <f t="shared" si="107"/>
        <v>934.71</v>
      </c>
      <c r="AG102" s="66">
        <f t="shared" si="108"/>
        <v>-6520.8279999999986</v>
      </c>
      <c r="AH102" s="66">
        <f t="shared" si="109"/>
        <v>-20905.47</v>
      </c>
      <c r="AI102" s="66">
        <f t="shared" si="110"/>
        <v>34.819999999999936</v>
      </c>
      <c r="AK102" s="66">
        <f t="shared" si="111"/>
        <v>-4490.3579999999984</v>
      </c>
      <c r="AL102" s="66">
        <f t="shared" si="112"/>
        <v>-18875</v>
      </c>
      <c r="AM102" s="66">
        <f t="shared" si="113"/>
        <v>2065.29</v>
      </c>
    </row>
    <row r="103" spans="1:39" s="5" customFormat="1" x14ac:dyDescent="0.2">
      <c r="A103" s="64"/>
      <c r="B103" s="64"/>
      <c r="C103" s="64"/>
      <c r="D103" s="64"/>
      <c r="E103" s="64"/>
      <c r="F103" s="64"/>
      <c r="G103" s="64" t="s">
        <v>118</v>
      </c>
      <c r="H103" s="66"/>
      <c r="I103" s="66">
        <v>2047</v>
      </c>
      <c r="J103" s="66"/>
      <c r="K103" s="66">
        <v>2616</v>
      </c>
      <c r="L103" s="66"/>
      <c r="M103" s="66">
        <v>4557</v>
      </c>
      <c r="N103" s="66"/>
      <c r="O103" s="66">
        <v>11738.48</v>
      </c>
      <c r="P103" s="66"/>
      <c r="Q103" s="66">
        <v>43850.73</v>
      </c>
      <c r="R103" s="66"/>
      <c r="S103" s="26">
        <v>42407.91</v>
      </c>
      <c r="T103" s="26"/>
      <c r="U103" s="26"/>
      <c r="V103" s="26"/>
      <c r="W103" s="26">
        <v>69140.67</v>
      </c>
      <c r="X103" s="26"/>
      <c r="Y103" s="26">
        <v>60000</v>
      </c>
      <c r="AA103" s="26">
        <v>70000</v>
      </c>
      <c r="AC103" s="66">
        <f t="shared" si="105"/>
        <v>21034.024000000001</v>
      </c>
      <c r="AD103" s="66">
        <f t="shared" si="106"/>
        <v>43850.73</v>
      </c>
      <c r="AE103" s="66">
        <f t="shared" si="107"/>
        <v>2616</v>
      </c>
      <c r="AG103" s="66">
        <f t="shared" si="108"/>
        <v>48106.645999999993</v>
      </c>
      <c r="AH103" s="66">
        <f t="shared" si="109"/>
        <v>25289.939999999995</v>
      </c>
      <c r="AI103" s="66">
        <f t="shared" si="110"/>
        <v>66524.67</v>
      </c>
      <c r="AK103" s="66">
        <f t="shared" si="111"/>
        <v>38965.975999999995</v>
      </c>
      <c r="AL103" s="66">
        <f t="shared" si="112"/>
        <v>16149.269999999997</v>
      </c>
      <c r="AM103" s="66">
        <f t="shared" si="113"/>
        <v>57384</v>
      </c>
    </row>
    <row r="104" spans="1:39" s="5" customFormat="1" x14ac:dyDescent="0.2">
      <c r="A104" s="64"/>
      <c r="B104" s="64"/>
      <c r="C104" s="64"/>
      <c r="D104" s="64"/>
      <c r="E104" s="64"/>
      <c r="F104" s="64"/>
      <c r="G104" s="64" t="s">
        <v>119</v>
      </c>
      <c r="H104" s="66"/>
      <c r="I104" s="66">
        <v>5359</v>
      </c>
      <c r="J104" s="66"/>
      <c r="K104" s="66">
        <v>1631</v>
      </c>
      <c r="L104" s="66"/>
      <c r="M104" s="66">
        <v>3681</v>
      </c>
      <c r="N104" s="66"/>
      <c r="O104" s="66">
        <v>0</v>
      </c>
      <c r="P104" s="66"/>
      <c r="Q104" s="66">
        <v>0</v>
      </c>
      <c r="R104" s="66"/>
      <c r="S104" s="26">
        <v>57693.03</v>
      </c>
      <c r="T104" s="26"/>
      <c r="U104" s="26"/>
      <c r="V104" s="26"/>
      <c r="W104" s="26">
        <v>11545.05</v>
      </c>
      <c r="X104" s="26"/>
      <c r="Y104" s="26">
        <v>0</v>
      </c>
      <c r="AA104" s="26">
        <v>0</v>
      </c>
      <c r="AC104" s="66">
        <f t="shared" si="105"/>
        <v>12601.005999999999</v>
      </c>
      <c r="AD104" s="66">
        <f t="shared" si="106"/>
        <v>57693.03</v>
      </c>
      <c r="AE104" s="66">
        <f t="shared" si="107"/>
        <v>0</v>
      </c>
      <c r="AG104" s="66">
        <f t="shared" si="108"/>
        <v>-1055.9560000000001</v>
      </c>
      <c r="AH104" s="66">
        <f t="shared" si="109"/>
        <v>-46147.979999999996</v>
      </c>
      <c r="AI104" s="66">
        <f t="shared" si="110"/>
        <v>11545.05</v>
      </c>
      <c r="AK104" s="66">
        <f t="shared" si="111"/>
        <v>-12601.005999999999</v>
      </c>
      <c r="AL104" s="66">
        <f t="shared" si="112"/>
        <v>-57693.03</v>
      </c>
      <c r="AM104" s="66">
        <f t="shared" si="113"/>
        <v>0</v>
      </c>
    </row>
    <row r="105" spans="1:39" s="5" customFormat="1" x14ac:dyDescent="0.2">
      <c r="A105" s="64"/>
      <c r="B105" s="64"/>
      <c r="C105" s="64"/>
      <c r="D105" s="64"/>
      <c r="E105" s="64"/>
      <c r="F105" s="64"/>
      <c r="G105" s="64" t="s">
        <v>120</v>
      </c>
      <c r="H105" s="66"/>
      <c r="I105" s="66">
        <v>17000</v>
      </c>
      <c r="J105" s="66"/>
      <c r="K105" s="66">
        <v>19852</v>
      </c>
      <c r="L105" s="66"/>
      <c r="M105" s="66">
        <v>23213</v>
      </c>
      <c r="N105" s="66"/>
      <c r="O105" s="66">
        <v>0</v>
      </c>
      <c r="P105" s="66"/>
      <c r="Q105" s="66">
        <v>10450</v>
      </c>
      <c r="R105" s="66"/>
      <c r="S105" s="26">
        <v>10350</v>
      </c>
      <c r="T105" s="26"/>
      <c r="U105" s="26"/>
      <c r="V105" s="26"/>
      <c r="W105" s="26">
        <v>8750</v>
      </c>
      <c r="X105" s="26"/>
      <c r="Y105" s="26">
        <v>12000</v>
      </c>
      <c r="AA105" s="26">
        <v>12000</v>
      </c>
      <c r="AC105" s="66">
        <f t="shared" si="105"/>
        <v>12773</v>
      </c>
      <c r="AD105" s="66">
        <f t="shared" si="106"/>
        <v>23213</v>
      </c>
      <c r="AE105" s="66">
        <f t="shared" si="107"/>
        <v>0</v>
      </c>
      <c r="AG105" s="66">
        <f t="shared" si="108"/>
        <v>-4023</v>
      </c>
      <c r="AH105" s="66">
        <f t="shared" si="109"/>
        <v>-14463</v>
      </c>
      <c r="AI105" s="66">
        <f t="shared" si="110"/>
        <v>8750</v>
      </c>
      <c r="AK105" s="66">
        <f t="shared" si="111"/>
        <v>-773</v>
      </c>
      <c r="AL105" s="66">
        <f t="shared" si="112"/>
        <v>-11213</v>
      </c>
      <c r="AM105" s="66">
        <f t="shared" si="113"/>
        <v>12000</v>
      </c>
    </row>
    <row r="106" spans="1:39" s="5" customFormat="1" x14ac:dyDescent="0.2">
      <c r="A106" s="64"/>
      <c r="B106" s="64"/>
      <c r="C106" s="64"/>
      <c r="D106" s="64"/>
      <c r="E106" s="64"/>
      <c r="F106" s="64"/>
      <c r="G106" s="64" t="s">
        <v>121</v>
      </c>
      <c r="H106" s="66"/>
      <c r="I106" s="66"/>
      <c r="J106" s="66"/>
      <c r="K106" s="66"/>
      <c r="L106" s="66"/>
      <c r="M106" s="66"/>
      <c r="N106" s="66"/>
      <c r="O106" s="66"/>
      <c r="P106" s="66"/>
      <c r="Q106" s="66">
        <v>4985</v>
      </c>
      <c r="R106" s="66"/>
      <c r="S106" s="26">
        <v>5285</v>
      </c>
      <c r="T106" s="26"/>
      <c r="U106" s="26"/>
      <c r="V106" s="26"/>
      <c r="W106" s="26">
        <v>5787.94</v>
      </c>
      <c r="X106" s="26"/>
      <c r="Y106" s="26">
        <v>6285</v>
      </c>
      <c r="AA106" s="26">
        <v>6300</v>
      </c>
      <c r="AC106" s="66">
        <f t="shared" si="105"/>
        <v>5135</v>
      </c>
      <c r="AD106" s="66">
        <f t="shared" si="106"/>
        <v>5285</v>
      </c>
      <c r="AE106" s="66">
        <f t="shared" si="107"/>
        <v>4985</v>
      </c>
      <c r="AG106" s="66">
        <f t="shared" si="108"/>
        <v>652.9399999999996</v>
      </c>
      <c r="AH106" s="66">
        <f t="shared" si="109"/>
        <v>502.9399999999996</v>
      </c>
      <c r="AI106" s="66">
        <f t="shared" si="110"/>
        <v>802.9399999999996</v>
      </c>
      <c r="AK106" s="66">
        <f t="shared" si="111"/>
        <v>1150</v>
      </c>
      <c r="AL106" s="66">
        <f t="shared" si="112"/>
        <v>1000</v>
      </c>
      <c r="AM106" s="66">
        <f t="shared" si="113"/>
        <v>1300</v>
      </c>
    </row>
    <row r="107" spans="1:39" s="5" customFormat="1" x14ac:dyDescent="0.2">
      <c r="A107" s="64"/>
      <c r="B107" s="64"/>
      <c r="C107" s="64"/>
      <c r="D107" s="64"/>
      <c r="E107" s="64"/>
      <c r="F107" s="64"/>
      <c r="G107" s="64" t="s">
        <v>122</v>
      </c>
      <c r="H107" s="66"/>
      <c r="I107" s="66">
        <f>2943+697</f>
        <v>3640</v>
      </c>
      <c r="J107" s="66"/>
      <c r="K107" s="66">
        <v>3829</v>
      </c>
      <c r="L107" s="66"/>
      <c r="M107" s="66">
        <v>4998</v>
      </c>
      <c r="N107" s="66"/>
      <c r="O107" s="66">
        <v>8560.18</v>
      </c>
      <c r="P107" s="66"/>
      <c r="Q107" s="66">
        <v>4579.5</v>
      </c>
      <c r="R107" s="66"/>
      <c r="S107" s="26">
        <v>10542.4</v>
      </c>
      <c r="T107" s="26"/>
      <c r="U107" s="26"/>
      <c r="V107" s="26"/>
      <c r="W107" s="26">
        <v>13315.46</v>
      </c>
      <c r="X107" s="26"/>
      <c r="Y107" s="26">
        <v>6000</v>
      </c>
      <c r="AA107" s="26">
        <v>6000</v>
      </c>
      <c r="AC107" s="66">
        <f t="shared" si="105"/>
        <v>6501.8160000000007</v>
      </c>
      <c r="AD107" s="66">
        <f t="shared" si="106"/>
        <v>10542.4</v>
      </c>
      <c r="AE107" s="66">
        <f t="shared" si="107"/>
        <v>3829</v>
      </c>
      <c r="AG107" s="66">
        <f t="shared" si="108"/>
        <v>6813.6439999999984</v>
      </c>
      <c r="AH107" s="66">
        <f t="shared" si="109"/>
        <v>2773.0599999999995</v>
      </c>
      <c r="AI107" s="66">
        <f t="shared" si="110"/>
        <v>9486.4599999999991</v>
      </c>
      <c r="AK107" s="66">
        <f t="shared" si="111"/>
        <v>-501.81600000000071</v>
      </c>
      <c r="AL107" s="66">
        <f t="shared" si="112"/>
        <v>-4542.3999999999996</v>
      </c>
      <c r="AM107" s="66">
        <f t="shared" si="113"/>
        <v>2171</v>
      </c>
    </row>
    <row r="108" spans="1:39" s="5" customFormat="1" x14ac:dyDescent="0.2">
      <c r="A108" s="64"/>
      <c r="B108" s="64"/>
      <c r="C108" s="64"/>
      <c r="D108" s="64"/>
      <c r="E108" s="64"/>
      <c r="F108" s="64"/>
      <c r="G108" s="64" t="s">
        <v>123</v>
      </c>
      <c r="H108" s="66"/>
      <c r="I108" s="66">
        <v>31888</v>
      </c>
      <c r="J108" s="66"/>
      <c r="K108" s="66">
        <v>9990</v>
      </c>
      <c r="L108" s="66"/>
      <c r="M108" s="66">
        <v>45969</v>
      </c>
      <c r="N108" s="66"/>
      <c r="O108" s="66">
        <v>0</v>
      </c>
      <c r="P108" s="66"/>
      <c r="Q108" s="66">
        <v>32123.93</v>
      </c>
      <c r="R108" s="66"/>
      <c r="S108" s="29">
        <v>1675</v>
      </c>
      <c r="T108" s="26"/>
      <c r="U108" s="26"/>
      <c r="V108" s="26"/>
      <c r="W108" s="29">
        <v>0</v>
      </c>
      <c r="X108" s="26"/>
      <c r="Y108" s="26">
        <v>0</v>
      </c>
      <c r="AA108" s="26">
        <v>0</v>
      </c>
      <c r="AC108" s="66">
        <f t="shared" si="105"/>
        <v>17951.585999999999</v>
      </c>
      <c r="AD108" s="66">
        <f t="shared" si="106"/>
        <v>45969</v>
      </c>
      <c r="AE108" s="66">
        <f t="shared" si="107"/>
        <v>0</v>
      </c>
      <c r="AG108" s="66">
        <f t="shared" si="108"/>
        <v>-17951.585999999999</v>
      </c>
      <c r="AH108" s="66">
        <f t="shared" si="109"/>
        <v>-45969</v>
      </c>
      <c r="AI108" s="66">
        <f t="shared" si="110"/>
        <v>0</v>
      </c>
      <c r="AK108" s="66">
        <f t="shared" si="111"/>
        <v>-17951.585999999999</v>
      </c>
      <c r="AL108" s="66">
        <f t="shared" si="112"/>
        <v>-45969</v>
      </c>
      <c r="AM108" s="66">
        <f t="shared" si="113"/>
        <v>0</v>
      </c>
    </row>
    <row r="109" spans="1:39" s="5" customFormat="1" x14ac:dyDescent="0.2">
      <c r="A109" s="64"/>
      <c r="B109" s="64"/>
      <c r="C109" s="64"/>
      <c r="D109" s="64"/>
      <c r="E109" s="64"/>
      <c r="F109" s="64"/>
      <c r="G109" s="74" t="s">
        <v>124</v>
      </c>
      <c r="H109" s="66"/>
      <c r="I109" s="66"/>
      <c r="J109" s="66"/>
      <c r="K109" s="66"/>
      <c r="L109" s="66"/>
      <c r="M109" s="66"/>
      <c r="N109" s="66"/>
      <c r="O109" s="66"/>
      <c r="P109" s="66"/>
      <c r="Q109" s="66"/>
      <c r="R109" s="66"/>
      <c r="S109" s="26">
        <v>44205</v>
      </c>
      <c r="T109" s="26"/>
      <c r="U109" s="26"/>
      <c r="V109" s="26"/>
      <c r="W109" s="26">
        <f>0.2*W28</f>
        <v>33561.281999999999</v>
      </c>
      <c r="X109" s="26"/>
      <c r="Y109" s="26">
        <f>Y28*0.2</f>
        <v>66000</v>
      </c>
      <c r="AA109" s="26">
        <f>+AA28*0.2</f>
        <v>60000</v>
      </c>
      <c r="AC109" s="66"/>
      <c r="AD109" s="66">
        <f t="shared" si="106"/>
        <v>44205</v>
      </c>
      <c r="AE109" s="66">
        <f t="shared" si="107"/>
        <v>44205</v>
      </c>
      <c r="AG109" s="66">
        <f t="shared" si="108"/>
        <v>33561.281999999999</v>
      </c>
      <c r="AH109" s="66">
        <f t="shared" si="109"/>
        <v>-10643.718000000001</v>
      </c>
      <c r="AI109" s="66">
        <f t="shared" si="110"/>
        <v>-10643.718000000001</v>
      </c>
      <c r="AK109" s="66"/>
      <c r="AL109" s="66">
        <f t="shared" si="112"/>
        <v>21795</v>
      </c>
      <c r="AM109" s="66">
        <f t="shared" si="113"/>
        <v>21795</v>
      </c>
    </row>
    <row r="110" spans="1:39" s="5" customFormat="1" x14ac:dyDescent="0.2">
      <c r="A110" s="64"/>
      <c r="B110" s="64"/>
      <c r="C110" s="64"/>
      <c r="D110" s="64"/>
      <c r="E110" s="64"/>
      <c r="F110" s="64"/>
      <c r="G110" s="74" t="s">
        <v>125</v>
      </c>
      <c r="H110" s="66"/>
      <c r="I110" s="66"/>
      <c r="J110" s="66"/>
      <c r="K110" s="66"/>
      <c r="L110" s="66"/>
      <c r="M110" s="66"/>
      <c r="N110" s="66"/>
      <c r="O110" s="66"/>
      <c r="P110" s="66"/>
      <c r="Q110" s="66"/>
      <c r="R110" s="66"/>
      <c r="S110" s="26">
        <v>16097</v>
      </c>
      <c r="T110" s="26"/>
      <c r="U110" s="26"/>
      <c r="V110" s="26"/>
      <c r="W110" s="26">
        <f>0.03*(W7+W8)</f>
        <v>35272.092000000004</v>
      </c>
      <c r="X110" s="26"/>
      <c r="Y110" s="26">
        <v>18900</v>
      </c>
      <c r="AA110" s="26">
        <f>+AA7*0.03</f>
        <v>22500</v>
      </c>
      <c r="AC110" s="66"/>
      <c r="AD110" s="66">
        <f t="shared" si="106"/>
        <v>16097</v>
      </c>
      <c r="AE110" s="66">
        <f t="shared" si="107"/>
        <v>16097</v>
      </c>
      <c r="AG110" s="66">
        <f t="shared" si="108"/>
        <v>35272.092000000004</v>
      </c>
      <c r="AH110" s="66">
        <f t="shared" si="109"/>
        <v>19175.092000000004</v>
      </c>
      <c r="AI110" s="66">
        <f t="shared" si="110"/>
        <v>19175.092000000004</v>
      </c>
      <c r="AK110" s="66"/>
      <c r="AL110" s="66">
        <f t="shared" si="112"/>
        <v>2803</v>
      </c>
      <c r="AM110" s="66">
        <f t="shared" si="113"/>
        <v>2803</v>
      </c>
    </row>
    <row r="111" spans="1:39" s="5" customFormat="1" x14ac:dyDescent="0.2">
      <c r="A111" s="64"/>
      <c r="B111" s="64"/>
      <c r="C111" s="64"/>
      <c r="D111" s="64"/>
      <c r="E111" s="64"/>
      <c r="F111" s="64"/>
      <c r="G111" s="74" t="s">
        <v>126</v>
      </c>
      <c r="H111" s="66"/>
      <c r="I111" s="66"/>
      <c r="J111" s="66"/>
      <c r="K111" s="66"/>
      <c r="L111" s="66"/>
      <c r="M111" s="66"/>
      <c r="N111" s="66"/>
      <c r="O111" s="66"/>
      <c r="P111" s="66"/>
      <c r="Q111" s="66"/>
      <c r="R111" s="66"/>
      <c r="S111" s="26">
        <v>26828</v>
      </c>
      <c r="T111" s="26"/>
      <c r="U111" s="26"/>
      <c r="V111" s="26"/>
      <c r="W111" s="26">
        <v>61402.59</v>
      </c>
      <c r="X111" s="26"/>
      <c r="Y111" s="26">
        <f>Y7*0.05</f>
        <v>30250</v>
      </c>
      <c r="AA111" s="26">
        <f>+AA7*0.05</f>
        <v>37500</v>
      </c>
      <c r="AC111" s="66"/>
      <c r="AD111" s="66">
        <f t="shared" si="106"/>
        <v>26828</v>
      </c>
      <c r="AE111" s="66">
        <f t="shared" si="107"/>
        <v>26828</v>
      </c>
      <c r="AG111" s="66">
        <f t="shared" si="108"/>
        <v>61402.59</v>
      </c>
      <c r="AH111" s="66">
        <f t="shared" si="109"/>
        <v>34574.589999999997</v>
      </c>
      <c r="AI111" s="66">
        <f t="shared" si="110"/>
        <v>34574.589999999997</v>
      </c>
      <c r="AK111" s="66"/>
      <c r="AL111" s="66">
        <f t="shared" si="112"/>
        <v>3422</v>
      </c>
      <c r="AM111" s="66">
        <f t="shared" si="113"/>
        <v>3422</v>
      </c>
    </row>
    <row r="112" spans="1:39" s="5" customFormat="1" x14ac:dyDescent="0.2">
      <c r="A112" s="64"/>
      <c r="B112" s="64"/>
      <c r="C112" s="64"/>
      <c r="D112" s="64"/>
      <c r="E112" s="64"/>
      <c r="F112" s="64"/>
      <c r="G112" s="74" t="s">
        <v>127</v>
      </c>
      <c r="H112" s="66"/>
      <c r="I112" s="66"/>
      <c r="J112" s="66"/>
      <c r="K112" s="66"/>
      <c r="L112" s="66"/>
      <c r="M112" s="66"/>
      <c r="N112" s="66"/>
      <c r="O112" s="66"/>
      <c r="P112" s="66"/>
      <c r="Q112" s="66"/>
      <c r="R112" s="66"/>
      <c r="S112" s="26">
        <v>32920</v>
      </c>
      <c r="T112" s="26"/>
      <c r="U112" s="26"/>
      <c r="V112" s="26"/>
      <c r="W112" s="26">
        <f>0.05*(W24+W23)</f>
        <v>35233.834999999999</v>
      </c>
      <c r="X112" s="26"/>
      <c r="Y112" s="26">
        <f>(Y23+Y24)*0.05</f>
        <v>37750</v>
      </c>
      <c r="AA112" s="26">
        <f>+(AA23+AA24)*0.05</f>
        <v>37750</v>
      </c>
      <c r="AC112" s="66"/>
      <c r="AD112" s="66">
        <f t="shared" si="106"/>
        <v>32920</v>
      </c>
      <c r="AE112" s="66">
        <f t="shared" si="107"/>
        <v>32920</v>
      </c>
      <c r="AG112" s="66"/>
      <c r="AH112" s="66"/>
      <c r="AI112" s="66"/>
      <c r="AK112" s="66"/>
      <c r="AL112" s="66">
        <f t="shared" si="112"/>
        <v>4830</v>
      </c>
      <c r="AM112" s="66">
        <f t="shared" si="113"/>
        <v>4830</v>
      </c>
    </row>
    <row r="113" spans="1:39" s="5" customFormat="1" ht="12" thickBot="1" x14ac:dyDescent="0.25">
      <c r="A113" s="64"/>
      <c r="B113" s="64"/>
      <c r="C113" s="64"/>
      <c r="D113" s="64"/>
      <c r="E113" s="64"/>
      <c r="F113" s="64"/>
      <c r="G113" s="64" t="s">
        <v>128</v>
      </c>
      <c r="H113" s="66"/>
      <c r="I113" s="71"/>
      <c r="J113" s="66"/>
      <c r="K113" s="71"/>
      <c r="L113" s="66"/>
      <c r="M113" s="71"/>
      <c r="N113" s="66"/>
      <c r="O113" s="71"/>
      <c r="P113" s="71"/>
      <c r="Q113" s="71"/>
      <c r="R113" s="71"/>
      <c r="S113" s="35"/>
      <c r="T113" s="29"/>
      <c r="U113" s="29"/>
      <c r="V113" s="26"/>
      <c r="W113" s="35"/>
      <c r="X113" s="26"/>
      <c r="Y113" s="35"/>
      <c r="AA113" s="35"/>
      <c r="AC113" s="71"/>
      <c r="AD113" s="71">
        <f t="shared" si="106"/>
        <v>0</v>
      </c>
      <c r="AE113" s="71">
        <f t="shared" si="107"/>
        <v>0</v>
      </c>
      <c r="AG113" s="71">
        <f t="shared" si="108"/>
        <v>0</v>
      </c>
      <c r="AH113" s="71">
        <f t="shared" si="109"/>
        <v>0</v>
      </c>
      <c r="AI113" s="71">
        <f t="shared" si="110"/>
        <v>0</v>
      </c>
      <c r="AK113" s="71">
        <f t="shared" si="111"/>
        <v>0</v>
      </c>
      <c r="AL113" s="71">
        <f t="shared" si="112"/>
        <v>0</v>
      </c>
      <c r="AM113" s="71">
        <f t="shared" si="113"/>
        <v>0</v>
      </c>
    </row>
    <row r="114" spans="1:39" s="5" customFormat="1" x14ac:dyDescent="0.2">
      <c r="A114" s="64"/>
      <c r="B114" s="64"/>
      <c r="C114" s="64"/>
      <c r="D114" s="64"/>
      <c r="E114" s="64"/>
      <c r="F114" s="64" t="s">
        <v>129</v>
      </c>
      <c r="G114" s="64"/>
      <c r="H114" s="66"/>
      <c r="I114" s="66">
        <f>ROUND(SUM(I89:I113),5)</f>
        <v>359971</v>
      </c>
      <c r="J114" s="66"/>
      <c r="K114" s="66">
        <f>ROUND(SUM(K89:K113),5)</f>
        <v>333725</v>
      </c>
      <c r="L114" s="66"/>
      <c r="M114" s="66">
        <f>ROUND(SUM(M89:M113),5)</f>
        <v>277260</v>
      </c>
      <c r="N114" s="66"/>
      <c r="O114" s="66">
        <f>ROUND(SUM(O89:O113),5)</f>
        <v>628127.16</v>
      </c>
      <c r="P114" s="66"/>
      <c r="Q114" s="66">
        <f>ROUND(SUM(Q89:Q113),5)</f>
        <v>284637.23</v>
      </c>
      <c r="R114" s="66"/>
      <c r="S114" s="26">
        <f>ROUND(SUM(S89:S113),5)</f>
        <v>637231.24</v>
      </c>
      <c r="T114" s="26"/>
      <c r="U114" s="26"/>
      <c r="V114" s="26"/>
      <c r="W114" s="26">
        <f>ROUND(SUM(W89:W113),5)</f>
        <v>397208.609</v>
      </c>
      <c r="X114" s="26"/>
      <c r="Y114" s="26">
        <f>ROUND(SUM(Y89:Y113),5)</f>
        <v>434435</v>
      </c>
      <c r="AA114" s="26">
        <f>ROUND(SUM(AA89:AA113),5)</f>
        <v>418550</v>
      </c>
      <c r="AC114" s="66">
        <f t="shared" ref="AC114:AE114" si="114">ROUND(SUM(AC89:AC113),5)</f>
        <v>411267.12599999999</v>
      </c>
      <c r="AD114" s="66">
        <f t="shared" si="114"/>
        <v>1027500.01</v>
      </c>
      <c r="AE114" s="66">
        <f t="shared" si="114"/>
        <v>245354.87</v>
      </c>
      <c r="AG114" s="66">
        <f t="shared" ref="AG114:AI114" si="115">ROUND(SUM(AG89:AG113),5)</f>
        <v>-49292.351999999999</v>
      </c>
      <c r="AH114" s="66">
        <f t="shared" si="115"/>
        <v>-632605.23600000003</v>
      </c>
      <c r="AI114" s="66">
        <f t="shared" si="115"/>
        <v>149539.90400000001</v>
      </c>
      <c r="AK114" s="66">
        <f t="shared" ref="AK114:AM114" si="116">ROUND(SUM(AK89:AK113),5)</f>
        <v>-129732.126</v>
      </c>
      <c r="AL114" s="66">
        <f t="shared" si="116"/>
        <v>-593065.01</v>
      </c>
      <c r="AM114" s="66">
        <f t="shared" si="116"/>
        <v>189080.13</v>
      </c>
    </row>
    <row r="115" spans="1:39" s="5" customFormat="1" x14ac:dyDescent="0.2">
      <c r="A115" s="64"/>
      <c r="B115" s="64"/>
      <c r="C115" s="64"/>
      <c r="D115" s="64"/>
      <c r="E115" s="64"/>
      <c r="F115" s="64" t="s">
        <v>130</v>
      </c>
      <c r="G115" s="64"/>
      <c r="H115" s="66"/>
      <c r="I115" s="66"/>
      <c r="J115" s="66"/>
      <c r="K115" s="66"/>
      <c r="L115" s="66"/>
      <c r="M115" s="66"/>
      <c r="N115" s="66"/>
      <c r="O115" s="66"/>
      <c r="P115" s="66"/>
      <c r="Q115" s="66"/>
      <c r="R115" s="66"/>
      <c r="S115" s="26"/>
      <c r="T115" s="26"/>
      <c r="U115" s="26"/>
      <c r="V115" s="26"/>
      <c r="W115" s="26"/>
      <c r="X115" s="26"/>
      <c r="Y115" s="26"/>
      <c r="AA115" s="26"/>
      <c r="AC115" s="66"/>
      <c r="AD115" s="66"/>
      <c r="AE115" s="66"/>
      <c r="AG115" s="66"/>
      <c r="AH115" s="66"/>
      <c r="AI115" s="66"/>
      <c r="AK115" s="66"/>
      <c r="AL115" s="66"/>
      <c r="AM115" s="66"/>
    </row>
    <row r="116" spans="1:39" s="5" customFormat="1" x14ac:dyDescent="0.2">
      <c r="A116" s="64"/>
      <c r="B116" s="64"/>
      <c r="C116" s="64"/>
      <c r="D116" s="64"/>
      <c r="E116" s="64"/>
      <c r="F116" s="64"/>
      <c r="G116" s="64" t="s">
        <v>131</v>
      </c>
      <c r="H116" s="66"/>
      <c r="I116" s="66"/>
      <c r="J116" s="66"/>
      <c r="K116" s="66">
        <v>21187</v>
      </c>
      <c r="L116" s="66"/>
      <c r="M116" s="66">
        <v>6228</v>
      </c>
      <c r="N116" s="66"/>
      <c r="O116" s="66">
        <v>6689.77</v>
      </c>
      <c r="P116" s="66"/>
      <c r="Q116" s="66">
        <v>11080.74</v>
      </c>
      <c r="R116" s="66"/>
      <c r="S116" s="26">
        <v>10168.09</v>
      </c>
      <c r="T116" s="26"/>
      <c r="U116" s="26"/>
      <c r="V116" s="26"/>
      <c r="W116" s="26">
        <v>7712.7</v>
      </c>
      <c r="X116" s="26"/>
      <c r="Y116" s="26">
        <v>9500</v>
      </c>
      <c r="AA116" s="26">
        <v>9500</v>
      </c>
      <c r="AC116" s="66">
        <f t="shared" ref="AC116:AC126" si="117">AVERAGE(K116:S116)</f>
        <v>11070.720000000001</v>
      </c>
      <c r="AD116" s="66">
        <f>MAX(K116:S116)</f>
        <v>21187</v>
      </c>
      <c r="AE116" s="66">
        <f>MIN(K116:S116)</f>
        <v>6228</v>
      </c>
      <c r="AG116" s="66">
        <f t="shared" ref="AG116:AG126" si="118">+W116-AC116</f>
        <v>-3358.0200000000013</v>
      </c>
      <c r="AH116" s="66">
        <f t="shared" ref="AH116:AH126" si="119">+W116-AD116</f>
        <v>-13474.3</v>
      </c>
      <c r="AI116" s="66">
        <f t="shared" ref="AI116:AI126" si="120">+W116-AE116</f>
        <v>1484.6999999999998</v>
      </c>
      <c r="AK116" s="66">
        <f t="shared" ref="AK116:AK126" si="121">+Y116-AC116</f>
        <v>-1570.7200000000012</v>
      </c>
      <c r="AL116" s="66">
        <f t="shared" ref="AL116:AL126" si="122">+Y116-AD116</f>
        <v>-11687</v>
      </c>
      <c r="AM116" s="66">
        <f t="shared" ref="AM116:AM126" si="123">+Y116-AE116</f>
        <v>3272</v>
      </c>
    </row>
    <row r="117" spans="1:39" s="5" customFormat="1" x14ac:dyDescent="0.2">
      <c r="A117" s="64"/>
      <c r="B117" s="64"/>
      <c r="C117" s="64"/>
      <c r="D117" s="64"/>
      <c r="E117" s="64"/>
      <c r="F117" s="64"/>
      <c r="G117" s="64" t="s">
        <v>132</v>
      </c>
      <c r="H117" s="66"/>
      <c r="I117" s="66">
        <v>52247</v>
      </c>
      <c r="J117" s="66"/>
      <c r="K117" s="66">
        <v>52247</v>
      </c>
      <c r="L117" s="66"/>
      <c r="M117" s="66">
        <v>52300</v>
      </c>
      <c r="N117" s="66"/>
      <c r="O117" s="66">
        <v>52246.57</v>
      </c>
      <c r="P117" s="66"/>
      <c r="Q117" s="66">
        <v>52246.559999999998</v>
      </c>
      <c r="R117" s="66"/>
      <c r="S117" s="26">
        <v>49985</v>
      </c>
      <c r="T117" s="26"/>
      <c r="U117" s="26"/>
      <c r="V117" s="26"/>
      <c r="W117" s="26">
        <v>0</v>
      </c>
      <c r="X117" s="26"/>
      <c r="Y117" s="26">
        <v>0</v>
      </c>
      <c r="AA117" s="26">
        <v>0</v>
      </c>
      <c r="AC117" s="66">
        <f t="shared" si="117"/>
        <v>51805.025999999998</v>
      </c>
      <c r="AD117" s="66">
        <f>MAX(K117:S117)</f>
        <v>52300</v>
      </c>
      <c r="AE117" s="66">
        <f>MIN(K117:S117)</f>
        <v>49985</v>
      </c>
      <c r="AG117" s="66">
        <f t="shared" si="118"/>
        <v>-51805.025999999998</v>
      </c>
      <c r="AH117" s="66">
        <f t="shared" si="119"/>
        <v>-52300</v>
      </c>
      <c r="AI117" s="66">
        <f t="shared" si="120"/>
        <v>-49985</v>
      </c>
      <c r="AK117" s="66">
        <f t="shared" si="121"/>
        <v>-51805.025999999998</v>
      </c>
      <c r="AL117" s="66">
        <f t="shared" si="122"/>
        <v>-52300</v>
      </c>
      <c r="AM117" s="66">
        <f t="shared" si="123"/>
        <v>-49985</v>
      </c>
    </row>
    <row r="118" spans="1:39" s="5" customFormat="1" x14ac:dyDescent="0.2">
      <c r="A118" s="64"/>
      <c r="B118" s="64"/>
      <c r="C118" s="64"/>
      <c r="D118" s="64"/>
      <c r="E118" s="64"/>
      <c r="F118" s="64"/>
      <c r="G118" s="64" t="s">
        <v>133</v>
      </c>
      <c r="H118" s="66"/>
      <c r="I118" s="66"/>
      <c r="J118" s="66"/>
      <c r="K118" s="66"/>
      <c r="L118" s="66"/>
      <c r="M118" s="66"/>
      <c r="N118" s="66"/>
      <c r="O118" s="66"/>
      <c r="P118" s="66"/>
      <c r="Q118" s="66"/>
      <c r="R118" s="66"/>
      <c r="S118" s="26">
        <v>2261.77</v>
      </c>
      <c r="T118" s="26"/>
      <c r="U118" s="26"/>
      <c r="V118" s="26"/>
      <c r="W118" s="26">
        <v>1105</v>
      </c>
      <c r="X118" s="26"/>
      <c r="Y118" s="26"/>
      <c r="AA118" s="26">
        <v>0</v>
      </c>
      <c r="AC118" s="66"/>
      <c r="AD118" s="66"/>
      <c r="AE118" s="66"/>
      <c r="AG118" s="66"/>
      <c r="AH118" s="66"/>
      <c r="AI118" s="66"/>
      <c r="AK118" s="66"/>
      <c r="AL118" s="66"/>
      <c r="AM118" s="66"/>
    </row>
    <row r="119" spans="1:39" s="5" customFormat="1" x14ac:dyDescent="0.2">
      <c r="A119" s="64"/>
      <c r="B119" s="64"/>
      <c r="C119" s="64"/>
      <c r="D119" s="64"/>
      <c r="E119" s="64"/>
      <c r="F119" s="64"/>
      <c r="G119" s="64" t="s">
        <v>134</v>
      </c>
      <c r="H119" s="66"/>
      <c r="I119" s="66"/>
      <c r="J119" s="66"/>
      <c r="K119" s="66">
        <v>45190</v>
      </c>
      <c r="L119" s="66"/>
      <c r="M119" s="66">
        <v>41121</v>
      </c>
      <c r="N119" s="66"/>
      <c r="O119" s="66">
        <v>31792.52</v>
      </c>
      <c r="P119" s="66"/>
      <c r="Q119" s="66">
        <v>29483.8</v>
      </c>
      <c r="R119" s="66"/>
      <c r="S119" s="26">
        <v>32493.27</v>
      </c>
      <c r="T119" s="26"/>
      <c r="U119" s="26"/>
      <c r="V119" s="26"/>
      <c r="W119" s="26">
        <v>27143.13</v>
      </c>
      <c r="X119" s="26"/>
      <c r="Y119" s="26">
        <v>32000</v>
      </c>
      <c r="AA119" s="26">
        <v>32000</v>
      </c>
      <c r="AC119" s="66">
        <f t="shared" si="117"/>
        <v>36016.118000000002</v>
      </c>
      <c r="AD119" s="66">
        <f t="shared" ref="AD119:AD126" si="124">MAX(K119:S119)</f>
        <v>45190</v>
      </c>
      <c r="AE119" s="66">
        <f t="shared" ref="AE119:AE126" si="125">MIN(K119:S119)</f>
        <v>29483.8</v>
      </c>
      <c r="AG119" s="66">
        <f t="shared" si="118"/>
        <v>-8872.9880000000012</v>
      </c>
      <c r="AH119" s="66">
        <f t="shared" si="119"/>
        <v>-18046.87</v>
      </c>
      <c r="AI119" s="66">
        <f t="shared" si="120"/>
        <v>-2340.6699999999983</v>
      </c>
      <c r="AK119" s="66">
        <f t="shared" si="121"/>
        <v>-4016.1180000000022</v>
      </c>
      <c r="AL119" s="66">
        <f t="shared" si="122"/>
        <v>-13190</v>
      </c>
      <c r="AM119" s="66">
        <f t="shared" si="123"/>
        <v>2516.2000000000007</v>
      </c>
    </row>
    <row r="120" spans="1:39" s="5" customFormat="1" x14ac:dyDescent="0.2">
      <c r="A120" s="64"/>
      <c r="B120" s="64"/>
      <c r="C120" s="64"/>
      <c r="D120" s="64"/>
      <c r="E120" s="64"/>
      <c r="F120" s="64"/>
      <c r="G120" s="64" t="s">
        <v>135</v>
      </c>
      <c r="H120" s="66"/>
      <c r="I120" s="66">
        <v>2271</v>
      </c>
      <c r="J120" s="66"/>
      <c r="K120" s="66">
        <v>11854</v>
      </c>
      <c r="L120" s="66"/>
      <c r="M120" s="66">
        <v>13655</v>
      </c>
      <c r="N120" s="66"/>
      <c r="O120" s="66">
        <v>7608.32</v>
      </c>
      <c r="P120" s="66"/>
      <c r="Q120" s="66">
        <v>17521.349999999999</v>
      </c>
      <c r="R120" s="66"/>
      <c r="S120" s="26">
        <v>22706.86</v>
      </c>
      <c r="T120" s="26"/>
      <c r="U120" s="26"/>
      <c r="V120" s="26"/>
      <c r="W120" s="26">
        <v>16964.259999999998</v>
      </c>
      <c r="X120" s="26"/>
      <c r="Y120" s="26">
        <v>27600</v>
      </c>
      <c r="AA120" s="26">
        <v>22600</v>
      </c>
      <c r="AC120" s="66">
        <f t="shared" si="117"/>
        <v>14669.106</v>
      </c>
      <c r="AD120" s="66">
        <f t="shared" si="124"/>
        <v>22706.86</v>
      </c>
      <c r="AE120" s="66">
        <f t="shared" si="125"/>
        <v>7608.32</v>
      </c>
      <c r="AG120" s="66">
        <f t="shared" si="118"/>
        <v>2295.1539999999986</v>
      </c>
      <c r="AH120" s="66">
        <f t="shared" si="119"/>
        <v>-5742.6000000000022</v>
      </c>
      <c r="AI120" s="66">
        <f t="shared" si="120"/>
        <v>9355.9399999999987</v>
      </c>
      <c r="AK120" s="66">
        <f t="shared" si="121"/>
        <v>12930.894</v>
      </c>
      <c r="AL120" s="66">
        <f t="shared" si="122"/>
        <v>4893.1399999999994</v>
      </c>
      <c r="AM120" s="66">
        <f t="shared" si="123"/>
        <v>19991.68</v>
      </c>
    </row>
    <row r="121" spans="1:39" s="5" customFormat="1" x14ac:dyDescent="0.2">
      <c r="A121" s="64"/>
      <c r="B121" s="64"/>
      <c r="C121" s="64"/>
      <c r="D121" s="64"/>
      <c r="E121" s="64"/>
      <c r="F121" s="64"/>
      <c r="G121" s="64" t="s">
        <v>136</v>
      </c>
      <c r="H121" s="66"/>
      <c r="I121" s="66">
        <v>18170</v>
      </c>
      <c r="J121" s="66"/>
      <c r="K121" s="66">
        <v>8715</v>
      </c>
      <c r="L121" s="66"/>
      <c r="M121" s="66">
        <v>20250</v>
      </c>
      <c r="N121" s="66"/>
      <c r="O121" s="66">
        <v>4716.6000000000004</v>
      </c>
      <c r="P121" s="66"/>
      <c r="Q121" s="66">
        <v>22655.08</v>
      </c>
      <c r="R121" s="66"/>
      <c r="S121" s="26">
        <v>14990.07</v>
      </c>
      <c r="T121" s="26"/>
      <c r="U121" s="26"/>
      <c r="V121" s="26"/>
      <c r="W121" s="26">
        <v>8270.92</v>
      </c>
      <c r="X121" s="26"/>
      <c r="Y121" s="26">
        <v>15000</v>
      </c>
      <c r="AA121" s="26">
        <v>15000</v>
      </c>
      <c r="AC121" s="66">
        <f t="shared" si="117"/>
        <v>14265.35</v>
      </c>
      <c r="AD121" s="66">
        <f t="shared" si="124"/>
        <v>22655.08</v>
      </c>
      <c r="AE121" s="66">
        <f t="shared" si="125"/>
        <v>4716.6000000000004</v>
      </c>
      <c r="AG121" s="66">
        <f t="shared" si="118"/>
        <v>-5994.43</v>
      </c>
      <c r="AH121" s="66">
        <f t="shared" si="119"/>
        <v>-14384.160000000002</v>
      </c>
      <c r="AI121" s="66">
        <f t="shared" si="120"/>
        <v>3554.3199999999997</v>
      </c>
      <c r="AK121" s="66">
        <f t="shared" si="121"/>
        <v>734.64999999999964</v>
      </c>
      <c r="AL121" s="66">
        <f t="shared" si="122"/>
        <v>-7655.0800000000017</v>
      </c>
      <c r="AM121" s="66">
        <f t="shared" si="123"/>
        <v>10283.4</v>
      </c>
    </row>
    <row r="122" spans="1:39" s="5" customFormat="1" x14ac:dyDescent="0.2">
      <c r="A122" s="64"/>
      <c r="B122" s="64"/>
      <c r="C122" s="64"/>
      <c r="D122" s="64"/>
      <c r="E122" s="64"/>
      <c r="F122" s="64"/>
      <c r="G122" s="64" t="s">
        <v>137</v>
      </c>
      <c r="H122" s="66"/>
      <c r="I122" s="66">
        <v>10021</v>
      </c>
      <c r="J122" s="66"/>
      <c r="K122" s="66">
        <v>8605</v>
      </c>
      <c r="L122" s="66"/>
      <c r="M122" s="66">
        <v>17349</v>
      </c>
      <c r="N122" s="66"/>
      <c r="O122" s="66">
        <v>6249.04</v>
      </c>
      <c r="P122" s="66"/>
      <c r="Q122" s="66">
        <v>7871.26</v>
      </c>
      <c r="R122" s="66"/>
      <c r="S122" s="26">
        <v>7971.68</v>
      </c>
      <c r="T122" s="26"/>
      <c r="U122" s="26"/>
      <c r="V122" s="26"/>
      <c r="W122" s="26">
        <v>7049.34</v>
      </c>
      <c r="X122" s="26"/>
      <c r="Y122" s="26">
        <v>8000</v>
      </c>
      <c r="AA122" s="26">
        <v>6000</v>
      </c>
      <c r="AC122" s="66">
        <f t="shared" si="117"/>
        <v>9609.1959999999999</v>
      </c>
      <c r="AD122" s="66">
        <f t="shared" si="124"/>
        <v>17349</v>
      </c>
      <c r="AE122" s="66">
        <f t="shared" si="125"/>
        <v>6249.04</v>
      </c>
      <c r="AG122" s="66">
        <f t="shared" si="118"/>
        <v>-2559.8559999999998</v>
      </c>
      <c r="AH122" s="66">
        <f t="shared" si="119"/>
        <v>-10299.66</v>
      </c>
      <c r="AI122" s="66">
        <f t="shared" si="120"/>
        <v>800.30000000000018</v>
      </c>
      <c r="AK122" s="66">
        <f t="shared" si="121"/>
        <v>-1609.1959999999999</v>
      </c>
      <c r="AL122" s="66">
        <f t="shared" si="122"/>
        <v>-9349</v>
      </c>
      <c r="AM122" s="66">
        <f t="shared" si="123"/>
        <v>1750.96</v>
      </c>
    </row>
    <row r="123" spans="1:39" s="5" customFormat="1" x14ac:dyDescent="0.2">
      <c r="A123" s="64"/>
      <c r="B123" s="64"/>
      <c r="C123" s="64"/>
      <c r="D123" s="64"/>
      <c r="E123" s="64"/>
      <c r="F123" s="64"/>
      <c r="G123" s="64" t="s">
        <v>138</v>
      </c>
      <c r="H123" s="66"/>
      <c r="I123" s="66">
        <v>2400</v>
      </c>
      <c r="J123" s="66"/>
      <c r="K123" s="66"/>
      <c r="L123" s="66"/>
      <c r="M123" s="66"/>
      <c r="N123" s="66"/>
      <c r="O123" s="66">
        <v>380</v>
      </c>
      <c r="P123" s="66"/>
      <c r="Q123" s="66">
        <v>0</v>
      </c>
      <c r="R123" s="66"/>
      <c r="S123" s="26">
        <v>0</v>
      </c>
      <c r="T123" s="26"/>
      <c r="U123" s="26"/>
      <c r="V123" s="26"/>
      <c r="W123" s="26">
        <v>0</v>
      </c>
      <c r="X123" s="26"/>
      <c r="Y123" s="26">
        <v>1000</v>
      </c>
      <c r="AA123" s="26">
        <v>1000</v>
      </c>
      <c r="AC123" s="66">
        <f t="shared" si="117"/>
        <v>126.66666666666667</v>
      </c>
      <c r="AD123" s="66">
        <f t="shared" si="124"/>
        <v>380</v>
      </c>
      <c r="AE123" s="66">
        <f t="shared" si="125"/>
        <v>0</v>
      </c>
      <c r="AG123" s="66">
        <f t="shared" si="118"/>
        <v>-126.66666666666667</v>
      </c>
      <c r="AH123" s="66">
        <f t="shared" si="119"/>
        <v>-380</v>
      </c>
      <c r="AI123" s="66">
        <f t="shared" si="120"/>
        <v>0</v>
      </c>
      <c r="AK123" s="66">
        <f t="shared" si="121"/>
        <v>873.33333333333337</v>
      </c>
      <c r="AL123" s="66">
        <f t="shared" si="122"/>
        <v>620</v>
      </c>
      <c r="AM123" s="66">
        <f t="shared" si="123"/>
        <v>1000</v>
      </c>
    </row>
    <row r="124" spans="1:39" s="5" customFormat="1" x14ac:dyDescent="0.2">
      <c r="A124" s="64"/>
      <c r="B124" s="64"/>
      <c r="C124" s="64"/>
      <c r="D124" s="64"/>
      <c r="E124" s="64"/>
      <c r="F124" s="64"/>
      <c r="G124" s="64" t="s">
        <v>139</v>
      </c>
      <c r="H124" s="66"/>
      <c r="I124" s="66">
        <v>21913</v>
      </c>
      <c r="J124" s="66"/>
      <c r="K124" s="66">
        <v>11631</v>
      </c>
      <c r="L124" s="66"/>
      <c r="M124" s="66">
        <v>10701</v>
      </c>
      <c r="N124" s="66"/>
      <c r="O124" s="66">
        <v>10686.42</v>
      </c>
      <c r="P124" s="66"/>
      <c r="Q124" s="66">
        <v>1196.74</v>
      </c>
      <c r="R124" s="66"/>
      <c r="S124" s="26">
        <v>5850.55</v>
      </c>
      <c r="T124" s="26"/>
      <c r="U124" s="26"/>
      <c r="V124" s="26"/>
      <c r="W124" s="26">
        <v>6155</v>
      </c>
      <c r="X124" s="26"/>
      <c r="Y124" s="26">
        <v>11500</v>
      </c>
      <c r="AA124" s="26"/>
      <c r="AC124" s="66">
        <f t="shared" si="117"/>
        <v>8013.1419999999998</v>
      </c>
      <c r="AD124" s="66">
        <f t="shared" si="124"/>
        <v>11631</v>
      </c>
      <c r="AE124" s="66">
        <f t="shared" si="125"/>
        <v>1196.74</v>
      </c>
      <c r="AG124" s="66">
        <f t="shared" si="118"/>
        <v>-1858.1419999999998</v>
      </c>
      <c r="AH124" s="66">
        <f t="shared" si="119"/>
        <v>-5476</v>
      </c>
      <c r="AI124" s="66">
        <f t="shared" si="120"/>
        <v>4958.26</v>
      </c>
      <c r="AK124" s="66">
        <f t="shared" si="121"/>
        <v>3486.8580000000002</v>
      </c>
      <c r="AL124" s="66">
        <f t="shared" si="122"/>
        <v>-131</v>
      </c>
      <c r="AM124" s="66">
        <f t="shared" si="123"/>
        <v>10303.26</v>
      </c>
    </row>
    <row r="125" spans="1:39" s="5" customFormat="1" x14ac:dyDescent="0.2">
      <c r="A125" s="64"/>
      <c r="B125" s="64"/>
      <c r="C125" s="64"/>
      <c r="D125" s="64"/>
      <c r="E125" s="64"/>
      <c r="F125" s="64"/>
      <c r="G125" s="64" t="s">
        <v>140</v>
      </c>
      <c r="H125" s="66"/>
      <c r="I125" s="66"/>
      <c r="J125" s="66"/>
      <c r="K125" s="66">
        <v>6345</v>
      </c>
      <c r="L125" s="66"/>
      <c r="M125" s="66">
        <v>18291</v>
      </c>
      <c r="N125" s="66"/>
      <c r="O125" s="66">
        <v>0</v>
      </c>
      <c r="P125" s="66"/>
      <c r="Q125" s="66">
        <v>2024.19</v>
      </c>
      <c r="R125" s="66"/>
      <c r="S125" s="26">
        <v>514.44000000000005</v>
      </c>
      <c r="T125" s="26"/>
      <c r="U125" s="26"/>
      <c r="V125" s="26"/>
      <c r="W125" s="26">
        <v>1574.8</v>
      </c>
      <c r="X125" s="26"/>
      <c r="Y125" s="26">
        <v>7000</v>
      </c>
      <c r="AA125" s="26">
        <v>1000</v>
      </c>
      <c r="AC125" s="66">
        <f t="shared" si="117"/>
        <v>5434.9259999999995</v>
      </c>
      <c r="AD125" s="66">
        <f t="shared" si="124"/>
        <v>18291</v>
      </c>
      <c r="AE125" s="66">
        <f t="shared" si="125"/>
        <v>0</v>
      </c>
      <c r="AG125" s="66">
        <f t="shared" si="118"/>
        <v>-3860.1259999999993</v>
      </c>
      <c r="AH125" s="66">
        <f t="shared" si="119"/>
        <v>-16716.2</v>
      </c>
      <c r="AI125" s="66">
        <f t="shared" si="120"/>
        <v>1574.8</v>
      </c>
      <c r="AK125" s="66">
        <f t="shared" si="121"/>
        <v>1565.0740000000005</v>
      </c>
      <c r="AL125" s="66">
        <f t="shared" si="122"/>
        <v>-11291</v>
      </c>
      <c r="AM125" s="66">
        <f t="shared" si="123"/>
        <v>7000</v>
      </c>
    </row>
    <row r="126" spans="1:39" s="5" customFormat="1" ht="12" thickBot="1" x14ac:dyDescent="0.25">
      <c r="A126" s="64"/>
      <c r="B126" s="64"/>
      <c r="C126" s="64"/>
      <c r="D126" s="64"/>
      <c r="E126" s="64"/>
      <c r="F126" s="64"/>
      <c r="G126" s="64" t="s">
        <v>141</v>
      </c>
      <c r="H126" s="66"/>
      <c r="I126" s="69"/>
      <c r="J126" s="66"/>
      <c r="K126" s="69"/>
      <c r="L126" s="66"/>
      <c r="M126" s="69">
        <v>85000</v>
      </c>
      <c r="N126" s="66"/>
      <c r="O126" s="69">
        <v>0</v>
      </c>
      <c r="P126" s="69"/>
      <c r="Q126" s="66">
        <v>25067</v>
      </c>
      <c r="R126" s="66"/>
      <c r="S126" s="26">
        <v>31345.3</v>
      </c>
      <c r="T126" s="29"/>
      <c r="U126" s="29"/>
      <c r="V126" s="26"/>
      <c r="W126" s="26">
        <v>36839.800000000003</v>
      </c>
      <c r="X126" s="26"/>
      <c r="Y126" s="29"/>
      <c r="AA126" s="29"/>
      <c r="AB126" s="66"/>
      <c r="AC126" s="69">
        <f t="shared" si="117"/>
        <v>35353.074999999997</v>
      </c>
      <c r="AD126" s="69">
        <f t="shared" si="124"/>
        <v>85000</v>
      </c>
      <c r="AE126" s="69">
        <f t="shared" si="125"/>
        <v>0</v>
      </c>
      <c r="AG126" s="69">
        <f t="shared" si="118"/>
        <v>1486.7250000000058</v>
      </c>
      <c r="AH126" s="69">
        <f t="shared" si="119"/>
        <v>-48160.2</v>
      </c>
      <c r="AI126" s="69">
        <f t="shared" si="120"/>
        <v>36839.800000000003</v>
      </c>
      <c r="AK126" s="69">
        <f t="shared" si="121"/>
        <v>-35353.074999999997</v>
      </c>
      <c r="AL126" s="69">
        <f t="shared" si="122"/>
        <v>-85000</v>
      </c>
      <c r="AM126" s="69">
        <f t="shared" si="123"/>
        <v>0</v>
      </c>
    </row>
    <row r="127" spans="1:39" s="5" customFormat="1" ht="12" thickBot="1" x14ac:dyDescent="0.25">
      <c r="A127" s="64"/>
      <c r="B127" s="64"/>
      <c r="C127" s="64"/>
      <c r="D127" s="64"/>
      <c r="E127" s="64"/>
      <c r="F127" s="64" t="s">
        <v>142</v>
      </c>
      <c r="G127" s="64"/>
      <c r="H127" s="66"/>
      <c r="I127" s="70">
        <f>ROUND(SUM(I115:I126),5)</f>
        <v>107022</v>
      </c>
      <c r="J127" s="66"/>
      <c r="K127" s="70">
        <f>ROUND(SUM(K115:K126),5)</f>
        <v>165774</v>
      </c>
      <c r="L127" s="66"/>
      <c r="M127" s="70">
        <f>ROUND(SUM(M115:M126),5)</f>
        <v>264895</v>
      </c>
      <c r="N127" s="66"/>
      <c r="O127" s="70">
        <f>ROUND(SUM(O115:O126),5)</f>
        <v>120369.24</v>
      </c>
      <c r="P127" s="70"/>
      <c r="Q127" s="70">
        <f>ROUND(SUM(Q115:Q126),5)</f>
        <v>169146.72</v>
      </c>
      <c r="R127" s="70"/>
      <c r="S127" s="32">
        <f>ROUND(SUM(S115:S126),5)</f>
        <v>178287.03</v>
      </c>
      <c r="T127" s="29"/>
      <c r="U127" s="29"/>
      <c r="V127" s="26"/>
      <c r="W127" s="32">
        <f>ROUND(SUM(W115:W126),5)</f>
        <v>112814.95</v>
      </c>
      <c r="X127" s="26"/>
      <c r="Y127" s="32">
        <f>ROUND(SUM(Y115:Y126),5)</f>
        <v>111600</v>
      </c>
      <c r="AA127" s="32">
        <f>ROUND(SUM(AA115:AA126),5)</f>
        <v>87100</v>
      </c>
      <c r="AC127" s="70">
        <f>ROUND(SUM(AC115:AC126),5)</f>
        <v>186363.32566999999</v>
      </c>
      <c r="AD127" s="70">
        <f>ROUND(SUM(AD115:AD126),5)</f>
        <v>296689.94</v>
      </c>
      <c r="AE127" s="70">
        <f>ROUND(SUM(AE115:AE126),5)</f>
        <v>105467.5</v>
      </c>
      <c r="AG127" s="70">
        <f>ROUND(SUM(AG115:AG126),5)</f>
        <v>-74653.375669999994</v>
      </c>
      <c r="AH127" s="70">
        <f>ROUND(SUM(AH115:AH126),5)</f>
        <v>-184979.99</v>
      </c>
      <c r="AI127" s="70">
        <f>ROUND(SUM(AI115:AI126),5)</f>
        <v>6242.45</v>
      </c>
      <c r="AK127" s="70">
        <f>ROUND(SUM(AK115:AK126),5)</f>
        <v>-74763.325670000006</v>
      </c>
      <c r="AL127" s="70">
        <f>ROUND(SUM(AL115:AL126),5)</f>
        <v>-185089.94</v>
      </c>
      <c r="AM127" s="70">
        <f>ROUND(SUM(AM115:AM126),5)</f>
        <v>6132.5</v>
      </c>
    </row>
    <row r="128" spans="1:39" s="5" customFormat="1" x14ac:dyDescent="0.2">
      <c r="A128" s="64"/>
      <c r="B128" s="64"/>
      <c r="C128" s="64"/>
      <c r="D128" s="64"/>
      <c r="E128" s="73" t="s">
        <v>143</v>
      </c>
      <c r="F128" s="64"/>
      <c r="G128" s="64"/>
      <c r="H128" s="66"/>
      <c r="I128" s="66">
        <f>ROUND(I88+I114+I127,5)</f>
        <v>466993</v>
      </c>
      <c r="J128" s="66"/>
      <c r="K128" s="66">
        <f>ROUND(K88+K114+K127,5)</f>
        <v>499499</v>
      </c>
      <c r="L128" s="66"/>
      <c r="M128" s="66">
        <f>ROUND(M88+M114+M127,5)</f>
        <v>542155</v>
      </c>
      <c r="N128" s="66"/>
      <c r="O128" s="66">
        <f>ROUND(O88+O114+O127,5)</f>
        <v>748496.4</v>
      </c>
      <c r="P128" s="66"/>
      <c r="Q128" s="66">
        <f>ROUND(Q88+Q114+Q127,5)</f>
        <v>453783.95</v>
      </c>
      <c r="R128" s="66"/>
      <c r="S128" s="26">
        <f>ROUND(S88+S114+S127,5)</f>
        <v>815518.27</v>
      </c>
      <c r="T128" s="26"/>
      <c r="U128" s="26"/>
      <c r="V128" s="26"/>
      <c r="W128" s="26">
        <f>ROUND(W88+W114+W127,5)</f>
        <v>510023.55900000001</v>
      </c>
      <c r="X128" s="26"/>
      <c r="Y128" s="26">
        <f>ROUND(Y88+Y114+Y127,5)</f>
        <v>546035</v>
      </c>
      <c r="AA128" s="26">
        <f>ROUND(AA88+AA114+AA127,5)</f>
        <v>505650</v>
      </c>
      <c r="AC128" s="66">
        <f>ROUND(AC88+AC114+AC127,5)</f>
        <v>597630.45166999998</v>
      </c>
      <c r="AD128" s="66">
        <f>ROUND(AD88+AD114+AD127,5)</f>
        <v>1324189.95</v>
      </c>
      <c r="AE128" s="66">
        <f>ROUND(AE88+AE114+AE127,5)</f>
        <v>350822.37</v>
      </c>
      <c r="AG128" s="66">
        <f>ROUND(AG88+AG114+AG127,5)</f>
        <v>-123945.72766999999</v>
      </c>
      <c r="AH128" s="66">
        <f>ROUND(AH88+AH114+AH127,5)</f>
        <v>-817585.22600000002</v>
      </c>
      <c r="AI128" s="66">
        <f>ROUND(AI88+AI114+AI127,5)</f>
        <v>155782.35399999999</v>
      </c>
      <c r="AK128" s="66">
        <f>ROUND(AK88+AK114+AK127,5)</f>
        <v>-204495.45167000001</v>
      </c>
      <c r="AL128" s="66">
        <f>ROUND(AL88+AL114+AL127,5)</f>
        <v>-778154.95</v>
      </c>
      <c r="AM128" s="66">
        <f>ROUND(AM88+AM114+AM127,5)</f>
        <v>195212.63</v>
      </c>
    </row>
    <row r="129" spans="1:39" s="5" customFormat="1" x14ac:dyDescent="0.2">
      <c r="A129" s="64"/>
      <c r="B129" s="64"/>
      <c r="C129" s="64"/>
      <c r="D129" s="64"/>
      <c r="E129" s="64"/>
      <c r="F129" s="64"/>
      <c r="G129" s="64"/>
      <c r="H129" s="66"/>
      <c r="I129" s="66"/>
      <c r="J129" s="66"/>
      <c r="K129" s="66"/>
      <c r="L129" s="66"/>
      <c r="M129" s="66"/>
      <c r="N129" s="66"/>
      <c r="O129" s="66"/>
      <c r="P129" s="66"/>
      <c r="Q129" s="66"/>
      <c r="R129" s="66"/>
      <c r="S129" s="26"/>
      <c r="T129" s="26"/>
      <c r="U129" s="26"/>
      <c r="V129" s="26"/>
      <c r="W129" s="26"/>
      <c r="X129" s="26"/>
      <c r="Y129" s="26"/>
      <c r="AA129" s="26"/>
      <c r="AC129" s="66"/>
      <c r="AD129" s="66"/>
      <c r="AE129" s="66"/>
      <c r="AG129" s="66"/>
      <c r="AH129" s="66"/>
      <c r="AI129" s="66"/>
      <c r="AK129" s="66"/>
      <c r="AL129" s="66"/>
      <c r="AM129" s="66"/>
    </row>
    <row r="130" spans="1:39" s="5" customFormat="1" x14ac:dyDescent="0.2">
      <c r="A130" s="64"/>
      <c r="B130" s="64"/>
      <c r="C130" s="64"/>
      <c r="D130" s="64"/>
      <c r="E130" s="73" t="s">
        <v>144</v>
      </c>
      <c r="F130" s="64"/>
      <c r="G130" s="64"/>
      <c r="H130" s="66"/>
      <c r="I130" s="66"/>
      <c r="J130" s="66"/>
      <c r="K130" s="66"/>
      <c r="L130" s="66"/>
      <c r="M130" s="66"/>
      <c r="N130" s="66"/>
      <c r="O130" s="66"/>
      <c r="P130" s="66"/>
      <c r="Q130" s="66"/>
      <c r="R130" s="66"/>
      <c r="S130" s="26"/>
      <c r="T130" s="26"/>
      <c r="U130" s="26"/>
      <c r="V130" s="26"/>
      <c r="W130" s="26"/>
      <c r="X130" s="26"/>
      <c r="Y130" s="26"/>
      <c r="AA130" s="26"/>
      <c r="AC130" s="66"/>
      <c r="AD130" s="66"/>
      <c r="AE130" s="66"/>
      <c r="AG130" s="66"/>
      <c r="AH130" s="66"/>
      <c r="AI130" s="66"/>
      <c r="AK130" s="66"/>
      <c r="AL130" s="66"/>
      <c r="AM130" s="66"/>
    </row>
    <row r="131" spans="1:39" s="5" customFormat="1" x14ac:dyDescent="0.2">
      <c r="A131" s="64"/>
      <c r="B131" s="64"/>
      <c r="C131" s="64"/>
      <c r="D131" s="64"/>
      <c r="E131" s="64"/>
      <c r="F131" s="64" t="s">
        <v>145</v>
      </c>
      <c r="G131" s="64"/>
      <c r="H131" s="66"/>
      <c r="I131" s="66"/>
      <c r="J131" s="66"/>
      <c r="K131" s="66"/>
      <c r="L131" s="66"/>
      <c r="M131" s="66"/>
      <c r="N131" s="66"/>
      <c r="O131" s="66"/>
      <c r="P131" s="66"/>
      <c r="Q131" s="66"/>
      <c r="R131" s="66"/>
      <c r="S131" s="26"/>
      <c r="T131" s="26"/>
      <c r="U131" s="26"/>
      <c r="V131" s="26"/>
      <c r="W131" s="26"/>
      <c r="X131" s="26"/>
      <c r="Y131" s="26"/>
      <c r="AA131" s="26"/>
      <c r="AC131" s="66"/>
      <c r="AD131" s="66"/>
      <c r="AE131" s="66"/>
      <c r="AG131" s="66"/>
      <c r="AH131" s="66"/>
      <c r="AI131" s="66"/>
      <c r="AK131" s="66"/>
      <c r="AL131" s="66"/>
      <c r="AM131" s="66"/>
    </row>
    <row r="132" spans="1:39" s="5" customFormat="1" x14ac:dyDescent="0.2">
      <c r="A132" s="64"/>
      <c r="B132" s="64"/>
      <c r="C132" s="64"/>
      <c r="D132" s="64"/>
      <c r="E132" s="64"/>
      <c r="F132" s="64"/>
      <c r="G132" s="64" t="s">
        <v>146</v>
      </c>
      <c r="H132" s="66"/>
      <c r="I132" s="66">
        <v>203816</v>
      </c>
      <c r="J132" s="66"/>
      <c r="K132" s="66">
        <v>211654</v>
      </c>
      <c r="L132" s="66"/>
      <c r="M132" s="66">
        <v>211155</v>
      </c>
      <c r="N132" s="66"/>
      <c r="O132" s="66">
        <v>245555.14</v>
      </c>
      <c r="P132" s="66"/>
      <c r="Q132" s="66">
        <v>256466.3</v>
      </c>
      <c r="R132" s="66"/>
      <c r="S132" s="26">
        <v>284414.59000000003</v>
      </c>
      <c r="T132" s="26"/>
      <c r="U132" s="26"/>
      <c r="V132" s="26"/>
      <c r="W132" s="26">
        <v>188511.24</v>
      </c>
      <c r="X132" s="26"/>
      <c r="Y132" s="26">
        <v>293038</v>
      </c>
      <c r="AA132" s="26">
        <v>306456</v>
      </c>
      <c r="AC132" s="66">
        <f t="shared" ref="AC132:AC136" si="126">AVERAGE(K132:S132)</f>
        <v>241849.00599999999</v>
      </c>
      <c r="AD132" s="66">
        <f>MAX(K132:S132)</f>
        <v>284414.59000000003</v>
      </c>
      <c r="AE132" s="66">
        <f>MIN(K132:S132)</f>
        <v>211155</v>
      </c>
      <c r="AG132" s="66">
        <f t="shared" ref="AG132:AG136" si="127">+W132-AC132</f>
        <v>-53337.766000000003</v>
      </c>
      <c r="AH132" s="66">
        <f t="shared" ref="AH132:AH136" si="128">+W132-AD132</f>
        <v>-95903.350000000035</v>
      </c>
      <c r="AI132" s="66">
        <f t="shared" ref="AI132:AI136" si="129">+W132-AE132</f>
        <v>-22643.760000000009</v>
      </c>
      <c r="AK132" s="66">
        <f t="shared" ref="AK132:AK136" si="130">+Y132-AC132</f>
        <v>51188.994000000006</v>
      </c>
      <c r="AL132" s="66">
        <f t="shared" ref="AL132:AL136" si="131">+Y132-AD132</f>
        <v>8623.4099999999744</v>
      </c>
      <c r="AM132" s="66">
        <f t="shared" ref="AM132:AM136" si="132">+Y132-AE132</f>
        <v>81883</v>
      </c>
    </row>
    <row r="133" spans="1:39" s="5" customFormat="1" x14ac:dyDescent="0.2">
      <c r="A133" s="64"/>
      <c r="B133" s="64"/>
      <c r="C133" s="64"/>
      <c r="D133" s="64"/>
      <c r="E133" s="64"/>
      <c r="F133" s="64"/>
      <c r="G133" s="64" t="s">
        <v>147</v>
      </c>
      <c r="H133" s="66"/>
      <c r="I133" s="66">
        <v>19389</v>
      </c>
      <c r="J133" s="66"/>
      <c r="K133" s="66">
        <v>20306</v>
      </c>
      <c r="L133" s="66"/>
      <c r="M133" s="66">
        <v>19258</v>
      </c>
      <c r="N133" s="66"/>
      <c r="O133" s="66">
        <v>20676.189999999999</v>
      </c>
      <c r="P133" s="66"/>
      <c r="Q133" s="66">
        <v>20955.72</v>
      </c>
      <c r="R133" s="66"/>
      <c r="S133" s="26">
        <v>22567.49</v>
      </c>
      <c r="T133" s="26"/>
      <c r="U133" s="26"/>
      <c r="V133" s="26"/>
      <c r="W133" s="26">
        <v>16037.9</v>
      </c>
      <c r="X133" s="26"/>
      <c r="Y133" s="26">
        <v>22416</v>
      </c>
      <c r="AA133" s="26">
        <f>+AA132*0.0765</f>
        <v>23443.883999999998</v>
      </c>
      <c r="AC133" s="66">
        <f t="shared" si="126"/>
        <v>20752.68</v>
      </c>
      <c r="AD133" s="66">
        <f>MAX(K133:S133)</f>
        <v>22567.49</v>
      </c>
      <c r="AE133" s="66">
        <f>MIN(K133:S133)</f>
        <v>19258</v>
      </c>
      <c r="AG133" s="66">
        <f t="shared" si="127"/>
        <v>-4714.7800000000007</v>
      </c>
      <c r="AH133" s="66">
        <f t="shared" si="128"/>
        <v>-6529.590000000002</v>
      </c>
      <c r="AI133" s="66">
        <f t="shared" si="129"/>
        <v>-3220.1000000000004</v>
      </c>
      <c r="AK133" s="66">
        <f t="shared" si="130"/>
        <v>1663.3199999999997</v>
      </c>
      <c r="AL133" s="66">
        <f t="shared" si="131"/>
        <v>-151.4900000000016</v>
      </c>
      <c r="AM133" s="66">
        <f t="shared" si="132"/>
        <v>3158</v>
      </c>
    </row>
    <row r="134" spans="1:39" s="5" customFormat="1" x14ac:dyDescent="0.2">
      <c r="A134" s="64"/>
      <c r="B134" s="64"/>
      <c r="C134" s="64"/>
      <c r="D134" s="64"/>
      <c r="E134" s="64"/>
      <c r="F134" s="64"/>
      <c r="G134" s="64" t="s">
        <v>148</v>
      </c>
      <c r="H134" s="66"/>
      <c r="I134" s="66">
        <v>42309</v>
      </c>
      <c r="J134" s="66"/>
      <c r="K134" s="66">
        <v>43705</v>
      </c>
      <c r="L134" s="66"/>
      <c r="M134" s="66">
        <v>54362</v>
      </c>
      <c r="N134" s="66"/>
      <c r="O134" s="66">
        <v>48066.96</v>
      </c>
      <c r="P134" s="66"/>
      <c r="Q134" s="66">
        <v>44081.58</v>
      </c>
      <c r="R134" s="66"/>
      <c r="S134" s="26">
        <v>51043.77</v>
      </c>
      <c r="T134" s="26"/>
      <c r="U134" s="26"/>
      <c r="V134" s="26"/>
      <c r="W134" s="26">
        <v>37407.550000000003</v>
      </c>
      <c r="X134" s="26"/>
      <c r="Y134" s="26">
        <v>40316</v>
      </c>
      <c r="AA134" s="26">
        <v>52820</v>
      </c>
      <c r="AC134" s="66">
        <f t="shared" si="126"/>
        <v>48251.861999999994</v>
      </c>
      <c r="AD134" s="66">
        <f>MAX(K134:S134)</f>
        <v>54362</v>
      </c>
      <c r="AE134" s="66">
        <f>MIN(K134:S134)</f>
        <v>43705</v>
      </c>
      <c r="AG134" s="66">
        <f t="shared" si="127"/>
        <v>-10844.311999999991</v>
      </c>
      <c r="AH134" s="66">
        <f t="shared" si="128"/>
        <v>-16954.449999999997</v>
      </c>
      <c r="AI134" s="66">
        <f t="shared" si="129"/>
        <v>-6297.4499999999971</v>
      </c>
      <c r="AK134" s="66">
        <f t="shared" si="130"/>
        <v>-7935.8619999999937</v>
      </c>
      <c r="AL134" s="66">
        <f t="shared" si="131"/>
        <v>-14046</v>
      </c>
      <c r="AM134" s="66">
        <f t="shared" si="132"/>
        <v>-3389</v>
      </c>
    </row>
    <row r="135" spans="1:39" s="5" customFormat="1" x14ac:dyDescent="0.2">
      <c r="A135" s="64"/>
      <c r="B135" s="64"/>
      <c r="C135" s="64"/>
      <c r="D135" s="64"/>
      <c r="E135" s="64"/>
      <c r="F135" s="64"/>
      <c r="G135" s="64" t="s">
        <v>149</v>
      </c>
      <c r="H135" s="66"/>
      <c r="I135" s="66">
        <v>4704</v>
      </c>
      <c r="J135" s="66"/>
      <c r="K135" s="66">
        <v>7710</v>
      </c>
      <c r="L135" s="66"/>
      <c r="M135" s="66">
        <v>6482</v>
      </c>
      <c r="N135" s="66"/>
      <c r="O135" s="66">
        <v>5333.59</v>
      </c>
      <c r="P135" s="66"/>
      <c r="Q135" s="66">
        <v>2182.23</v>
      </c>
      <c r="R135" s="66"/>
      <c r="S135" s="26">
        <v>5766.88</v>
      </c>
      <c r="T135" s="26"/>
      <c r="U135" s="26"/>
      <c r="V135" s="26"/>
      <c r="W135" s="26">
        <v>4079.26</v>
      </c>
      <c r="X135" s="26"/>
      <c r="Y135" s="26">
        <v>7285</v>
      </c>
      <c r="AA135" s="26">
        <v>7309</v>
      </c>
      <c r="AC135" s="66">
        <f t="shared" si="126"/>
        <v>5494.9400000000005</v>
      </c>
      <c r="AD135" s="66">
        <f>MAX(K135:S135)</f>
        <v>7710</v>
      </c>
      <c r="AE135" s="66">
        <f>MIN(K135:S135)</f>
        <v>2182.23</v>
      </c>
      <c r="AG135" s="66">
        <f t="shared" si="127"/>
        <v>-1415.6800000000003</v>
      </c>
      <c r="AH135" s="66">
        <f t="shared" si="128"/>
        <v>-3630.74</v>
      </c>
      <c r="AI135" s="66">
        <f t="shared" si="129"/>
        <v>1897.0300000000002</v>
      </c>
      <c r="AK135" s="66">
        <f t="shared" si="130"/>
        <v>1790.0599999999995</v>
      </c>
      <c r="AL135" s="66">
        <f t="shared" si="131"/>
        <v>-425</v>
      </c>
      <c r="AM135" s="66">
        <f t="shared" si="132"/>
        <v>5102.7700000000004</v>
      </c>
    </row>
    <row r="136" spans="1:39" s="5" customFormat="1" ht="12" thickBot="1" x14ac:dyDescent="0.25">
      <c r="A136" s="64"/>
      <c r="B136" s="64"/>
      <c r="C136" s="64"/>
      <c r="D136" s="64"/>
      <c r="E136" s="64"/>
      <c r="F136" s="64"/>
      <c r="G136" s="64" t="s">
        <v>150</v>
      </c>
      <c r="H136" s="66"/>
      <c r="I136" s="71"/>
      <c r="J136" s="66"/>
      <c r="K136" s="71"/>
      <c r="L136" s="66"/>
      <c r="M136" s="71"/>
      <c r="N136" s="66"/>
      <c r="O136" s="71"/>
      <c r="P136" s="71"/>
      <c r="Q136" s="71">
        <v>0</v>
      </c>
      <c r="R136" s="71"/>
      <c r="S136" s="35">
        <v>808.89</v>
      </c>
      <c r="T136" s="29"/>
      <c r="U136" s="29"/>
      <c r="V136" s="26"/>
      <c r="W136" s="35">
        <v>1462.03</v>
      </c>
      <c r="X136" s="26"/>
      <c r="Y136" s="35">
        <v>850</v>
      </c>
      <c r="AA136" s="35">
        <f>+AA132*0.29/100</f>
        <v>888.72239999999988</v>
      </c>
      <c r="AC136" s="71">
        <f t="shared" si="126"/>
        <v>404.44499999999999</v>
      </c>
      <c r="AD136" s="71">
        <f>MAX(K136:S136)</f>
        <v>808.89</v>
      </c>
      <c r="AE136" s="71">
        <f>MIN(K136:S136)</f>
        <v>0</v>
      </c>
      <c r="AG136" s="71">
        <f t="shared" si="127"/>
        <v>1057.585</v>
      </c>
      <c r="AH136" s="71">
        <f t="shared" si="128"/>
        <v>653.14</v>
      </c>
      <c r="AI136" s="71">
        <f t="shared" si="129"/>
        <v>1462.03</v>
      </c>
      <c r="AK136" s="71">
        <f t="shared" si="130"/>
        <v>445.55500000000001</v>
      </c>
      <c r="AL136" s="71">
        <f t="shared" si="131"/>
        <v>41.110000000000014</v>
      </c>
      <c r="AM136" s="71">
        <f t="shared" si="132"/>
        <v>850</v>
      </c>
    </row>
    <row r="137" spans="1:39" s="5" customFormat="1" x14ac:dyDescent="0.2">
      <c r="A137" s="64"/>
      <c r="B137" s="64"/>
      <c r="C137" s="64"/>
      <c r="D137" s="64"/>
      <c r="E137" s="64"/>
      <c r="F137" s="64" t="s">
        <v>151</v>
      </c>
      <c r="G137" s="64"/>
      <c r="H137" s="66"/>
      <c r="I137" s="66">
        <f>ROUND(SUM(I131:I136),5)</f>
        <v>270218</v>
      </c>
      <c r="J137" s="66"/>
      <c r="K137" s="66">
        <f>ROUND(SUM(K131:K136),5)</f>
        <v>283375</v>
      </c>
      <c r="L137" s="66"/>
      <c r="M137" s="66">
        <f>ROUND(SUM(M131:M136),5)</f>
        <v>291257</v>
      </c>
      <c r="N137" s="66"/>
      <c r="O137" s="66">
        <f>ROUND(SUM(O131:O136),5)</f>
        <v>319631.88</v>
      </c>
      <c r="P137" s="66"/>
      <c r="Q137" s="66">
        <f>ROUND(SUM(Q131:Q136),5)</f>
        <v>323685.83</v>
      </c>
      <c r="R137" s="66"/>
      <c r="S137" s="26">
        <f>ROUND(SUM(S131:S136),5)</f>
        <v>364601.62</v>
      </c>
      <c r="T137" s="26"/>
      <c r="U137" s="26"/>
      <c r="V137" s="26"/>
      <c r="W137" s="26">
        <f>ROUND(SUM(W131:W136),5)</f>
        <v>247497.98</v>
      </c>
      <c r="X137" s="26"/>
      <c r="Y137" s="26">
        <f>ROUND(SUM(Y131:Y136),5)</f>
        <v>363905</v>
      </c>
      <c r="AA137" s="26">
        <f>ROUND(SUM(AA131:AA136),5)</f>
        <v>390917.60639999999</v>
      </c>
      <c r="AC137" s="66">
        <f t="shared" ref="AC137:AE137" si="133">ROUND(SUM(AC131:AC136),5)</f>
        <v>316752.93300000002</v>
      </c>
      <c r="AD137" s="66">
        <f t="shared" si="133"/>
        <v>369862.97</v>
      </c>
      <c r="AE137" s="66">
        <f t="shared" si="133"/>
        <v>276300.23</v>
      </c>
      <c r="AG137" s="66">
        <f t="shared" ref="AG137:AI137" si="134">ROUND(SUM(AG131:AG136),5)</f>
        <v>-69254.952999999994</v>
      </c>
      <c r="AH137" s="66">
        <f t="shared" si="134"/>
        <v>-122364.99</v>
      </c>
      <c r="AI137" s="66">
        <f t="shared" si="134"/>
        <v>-28802.25</v>
      </c>
      <c r="AK137" s="66">
        <f t="shared" ref="AK137:AM137" si="135">ROUND(SUM(AK131:AK136),5)</f>
        <v>47152.067000000003</v>
      </c>
      <c r="AL137" s="66">
        <f t="shared" si="135"/>
        <v>-5957.97</v>
      </c>
      <c r="AM137" s="66">
        <f t="shared" si="135"/>
        <v>87604.77</v>
      </c>
    </row>
    <row r="138" spans="1:39" s="5" customFormat="1" x14ac:dyDescent="0.2">
      <c r="A138" s="64"/>
      <c r="B138" s="64"/>
      <c r="C138" s="64"/>
      <c r="D138" s="64"/>
      <c r="E138" s="64"/>
      <c r="F138" s="64" t="s">
        <v>152</v>
      </c>
      <c r="G138" s="64"/>
      <c r="H138" s="66"/>
      <c r="I138" s="66"/>
      <c r="J138" s="66"/>
      <c r="K138" s="66"/>
      <c r="L138" s="66"/>
      <c r="M138" s="66"/>
      <c r="N138" s="66"/>
      <c r="O138" s="66"/>
      <c r="P138" s="66"/>
      <c r="Q138" s="66"/>
      <c r="R138" s="66"/>
      <c r="S138" s="26"/>
      <c r="T138" s="26"/>
      <c r="U138" s="26"/>
      <c r="V138" s="26"/>
      <c r="W138" s="26"/>
      <c r="X138" s="26"/>
      <c r="Y138" s="26"/>
      <c r="AA138" s="26"/>
      <c r="AC138" s="66"/>
      <c r="AD138" s="66"/>
      <c r="AE138" s="66"/>
      <c r="AG138" s="66"/>
      <c r="AH138" s="66"/>
      <c r="AI138" s="66"/>
      <c r="AK138" s="66"/>
      <c r="AL138" s="66"/>
      <c r="AM138" s="66"/>
    </row>
    <row r="139" spans="1:39" s="5" customFormat="1" x14ac:dyDescent="0.2">
      <c r="A139" s="64"/>
      <c r="B139" s="64"/>
      <c r="C139" s="64"/>
      <c r="D139" s="64"/>
      <c r="E139" s="64"/>
      <c r="F139" s="64"/>
      <c r="G139" s="64" t="s">
        <v>153</v>
      </c>
      <c r="H139" s="66"/>
      <c r="I139" s="66"/>
      <c r="J139" s="66"/>
      <c r="K139" s="66"/>
      <c r="L139" s="66"/>
      <c r="M139" s="66"/>
      <c r="N139" s="66"/>
      <c r="O139" s="66"/>
      <c r="P139" s="66"/>
      <c r="Q139" s="66">
        <v>11747.1</v>
      </c>
      <c r="R139" s="66"/>
      <c r="S139" s="26">
        <v>1195.3499999999999</v>
      </c>
      <c r="T139" s="26"/>
      <c r="U139" s="26"/>
      <c r="V139" s="26"/>
      <c r="W139" s="26">
        <v>0</v>
      </c>
      <c r="X139" s="26"/>
      <c r="Y139" s="26">
        <v>9600</v>
      </c>
      <c r="AA139" s="26"/>
      <c r="AC139" s="66">
        <f t="shared" ref="AC139:AC141" si="136">AVERAGE(K139:S139)</f>
        <v>6471.2250000000004</v>
      </c>
      <c r="AD139" s="66">
        <f>MAX(K139:S139)</f>
        <v>11747.1</v>
      </c>
      <c r="AE139" s="66">
        <f>MIN(K139:S139)</f>
        <v>1195.3499999999999</v>
      </c>
      <c r="AG139" s="66">
        <f t="shared" ref="AG139:AG141" si="137">+W139-AC139</f>
        <v>-6471.2250000000004</v>
      </c>
      <c r="AH139" s="66">
        <f t="shared" ref="AH139:AH141" si="138">+W139-AD139</f>
        <v>-11747.1</v>
      </c>
      <c r="AI139" s="66">
        <f t="shared" ref="AI139:AI141" si="139">+W139-AE139</f>
        <v>-1195.3499999999999</v>
      </c>
      <c r="AK139" s="66">
        <f t="shared" ref="AK139:AK141" si="140">+Y139-AC139</f>
        <v>3128.7749999999996</v>
      </c>
      <c r="AL139" s="66">
        <f t="shared" ref="AL139:AL141" si="141">+Y139-AD139</f>
        <v>-2147.1000000000004</v>
      </c>
      <c r="AM139" s="66">
        <f t="shared" ref="AM139:AM141" si="142">+Y139-AE139</f>
        <v>8404.65</v>
      </c>
    </row>
    <row r="140" spans="1:39" s="43" customFormat="1" x14ac:dyDescent="0.2">
      <c r="A140" s="64"/>
      <c r="B140" s="64"/>
      <c r="C140" s="64"/>
      <c r="D140" s="64"/>
      <c r="E140" s="64"/>
      <c r="F140" s="64"/>
      <c r="G140" s="64" t="s">
        <v>154</v>
      </c>
      <c r="H140" s="69"/>
      <c r="I140" s="69" t="s">
        <v>155</v>
      </c>
      <c r="J140" s="69"/>
      <c r="K140" s="69"/>
      <c r="L140" s="69"/>
      <c r="M140" s="69" t="s">
        <v>155</v>
      </c>
      <c r="N140" s="69"/>
      <c r="O140" s="69" t="s">
        <v>155</v>
      </c>
      <c r="P140" s="69"/>
      <c r="Q140" s="66">
        <v>996.63</v>
      </c>
      <c r="R140" s="66"/>
      <c r="S140" s="29">
        <v>110.57</v>
      </c>
      <c r="T140" s="29"/>
      <c r="U140" s="29"/>
      <c r="V140" s="29"/>
      <c r="W140" s="29">
        <v>0</v>
      </c>
      <c r="X140" s="29"/>
      <c r="Y140" s="29">
        <v>735</v>
      </c>
      <c r="AA140" s="29"/>
      <c r="AC140" s="69">
        <f t="shared" si="136"/>
        <v>553.6</v>
      </c>
      <c r="AD140" s="69">
        <f>MAX(K140:S140)</f>
        <v>996.63</v>
      </c>
      <c r="AE140" s="69">
        <f>MIN(K140:S140)</f>
        <v>110.57</v>
      </c>
      <c r="AF140" s="5"/>
      <c r="AG140" s="69">
        <f t="shared" si="137"/>
        <v>-553.6</v>
      </c>
      <c r="AH140" s="69">
        <f t="shared" si="138"/>
        <v>-996.63</v>
      </c>
      <c r="AI140" s="69">
        <f t="shared" si="139"/>
        <v>-110.57</v>
      </c>
      <c r="AJ140" s="5"/>
      <c r="AK140" s="69">
        <f t="shared" si="140"/>
        <v>181.39999999999998</v>
      </c>
      <c r="AL140" s="69">
        <f t="shared" si="141"/>
        <v>-261.63</v>
      </c>
      <c r="AM140" s="69">
        <f t="shared" si="142"/>
        <v>624.43000000000006</v>
      </c>
    </row>
    <row r="141" spans="1:39" s="5" customFormat="1" ht="12" thickBot="1" x14ac:dyDescent="0.25">
      <c r="A141" s="64"/>
      <c r="B141" s="64"/>
      <c r="C141" s="64"/>
      <c r="D141" s="64"/>
      <c r="E141" s="64"/>
      <c r="F141" s="64"/>
      <c r="G141" s="64" t="s">
        <v>150</v>
      </c>
      <c r="H141" s="66"/>
      <c r="I141" s="71"/>
      <c r="J141" s="66"/>
      <c r="K141" s="71"/>
      <c r="L141" s="66"/>
      <c r="M141" s="71"/>
      <c r="N141" s="66"/>
      <c r="O141" s="71"/>
      <c r="P141" s="71"/>
      <c r="Q141" s="71">
        <v>0</v>
      </c>
      <c r="R141" s="71"/>
      <c r="S141" s="35">
        <v>9.9499999999999993</v>
      </c>
      <c r="T141" s="29"/>
      <c r="U141" s="29"/>
      <c r="V141" s="26"/>
      <c r="W141" s="35">
        <v>8</v>
      </c>
      <c r="X141" s="26"/>
      <c r="Y141" s="35">
        <v>28</v>
      </c>
      <c r="AA141" s="35"/>
      <c r="AC141" s="71">
        <f t="shared" si="136"/>
        <v>4.9749999999999996</v>
      </c>
      <c r="AD141" s="71">
        <f>MAX(K141:S141)</f>
        <v>9.9499999999999993</v>
      </c>
      <c r="AE141" s="71">
        <f>MIN(K141:S141)</f>
        <v>0</v>
      </c>
      <c r="AG141" s="71">
        <f t="shared" si="137"/>
        <v>3.0250000000000004</v>
      </c>
      <c r="AH141" s="71">
        <f t="shared" si="138"/>
        <v>-1.9499999999999993</v>
      </c>
      <c r="AI141" s="71">
        <f t="shared" si="139"/>
        <v>8</v>
      </c>
      <c r="AK141" s="71">
        <f t="shared" si="140"/>
        <v>23.024999999999999</v>
      </c>
      <c r="AL141" s="71">
        <f t="shared" si="141"/>
        <v>18.05</v>
      </c>
      <c r="AM141" s="71">
        <f t="shared" si="142"/>
        <v>28</v>
      </c>
    </row>
    <row r="142" spans="1:39" s="5" customFormat="1" x14ac:dyDescent="0.2">
      <c r="A142" s="64"/>
      <c r="B142" s="64"/>
      <c r="C142" s="64"/>
      <c r="D142" s="64"/>
      <c r="E142" s="64"/>
      <c r="F142" s="64" t="s">
        <v>156</v>
      </c>
      <c r="G142" s="64"/>
      <c r="H142" s="66"/>
      <c r="I142" s="66">
        <f>ROUND(SUM(I138:I141),5)</f>
        <v>0</v>
      </c>
      <c r="J142" s="66"/>
      <c r="K142" s="66">
        <f>ROUND(SUM(K138:K141),5)</f>
        <v>0</v>
      </c>
      <c r="L142" s="66"/>
      <c r="M142" s="66">
        <f>ROUND(SUM(M138:M141),5)</f>
        <v>0</v>
      </c>
      <c r="N142" s="66"/>
      <c r="O142" s="66">
        <f>ROUND(SUM(O138:O141),5)</f>
        <v>0</v>
      </c>
      <c r="P142" s="66"/>
      <c r="Q142" s="66">
        <f>ROUND(SUM(Q138:Q141),5)</f>
        <v>12743.73</v>
      </c>
      <c r="R142" s="66"/>
      <c r="S142" s="26">
        <f>ROUND(SUM(S138:S141),5)</f>
        <v>1315.87</v>
      </c>
      <c r="T142" s="26"/>
      <c r="U142" s="26"/>
      <c r="V142" s="26"/>
      <c r="W142" s="26">
        <f>ROUND(SUM(W138:W141),5)</f>
        <v>8</v>
      </c>
      <c r="X142" s="26"/>
      <c r="Y142" s="26">
        <f>ROUND(SUM(Y138:Y141),5)</f>
        <v>10363</v>
      </c>
      <c r="AA142" s="26">
        <f>ROUND(SUM(AA138:AA141),5)</f>
        <v>0</v>
      </c>
      <c r="AC142" s="66">
        <f>ROUND(SUM(AC138:AC141),5)</f>
        <v>7029.8</v>
      </c>
      <c r="AD142" s="66">
        <f>ROUND(SUM(AD138:AD141),5)</f>
        <v>12753.68</v>
      </c>
      <c r="AE142" s="66">
        <f>ROUND(SUM(AE138:AE141),5)</f>
        <v>1305.92</v>
      </c>
      <c r="AG142" s="66">
        <f>ROUND(SUM(AG138:AG141),5)</f>
        <v>-7021.8</v>
      </c>
      <c r="AH142" s="66">
        <f>ROUND(SUM(AH138:AH141),5)</f>
        <v>-12745.68</v>
      </c>
      <c r="AI142" s="66">
        <f>ROUND(SUM(AI138:AI141),5)</f>
        <v>-1297.92</v>
      </c>
      <c r="AK142" s="66">
        <f>ROUND(SUM(AK138:AK141),5)</f>
        <v>3333.2</v>
      </c>
      <c r="AL142" s="66">
        <f>ROUND(SUM(AL138:AL141),5)</f>
        <v>-2390.6799999999998</v>
      </c>
      <c r="AM142" s="66">
        <f>ROUND(SUM(AM138:AM141),5)</f>
        <v>9057.08</v>
      </c>
    </row>
    <row r="143" spans="1:39" s="5" customFormat="1" x14ac:dyDescent="0.2">
      <c r="A143" s="64"/>
      <c r="B143" s="64"/>
      <c r="C143" s="64"/>
      <c r="D143" s="64"/>
      <c r="E143" s="64"/>
      <c r="F143" s="64" t="s">
        <v>157</v>
      </c>
      <c r="G143" s="64"/>
      <c r="H143" s="66"/>
      <c r="I143" s="66"/>
      <c r="J143" s="66"/>
      <c r="K143" s="66"/>
      <c r="L143" s="66"/>
      <c r="M143" s="66"/>
      <c r="N143" s="66"/>
      <c r="O143" s="66"/>
      <c r="P143" s="66"/>
      <c r="Q143" s="66"/>
      <c r="R143" s="66"/>
      <c r="S143" s="26"/>
      <c r="T143" s="26"/>
      <c r="U143" s="26"/>
      <c r="V143" s="26"/>
      <c r="W143" s="26"/>
      <c r="X143" s="26"/>
      <c r="Y143" s="26"/>
      <c r="AA143" s="26"/>
      <c r="AC143" s="66"/>
      <c r="AD143" s="66"/>
      <c r="AE143" s="66"/>
      <c r="AG143" s="66"/>
      <c r="AH143" s="66"/>
      <c r="AI143" s="66"/>
      <c r="AK143" s="66"/>
      <c r="AL143" s="66"/>
      <c r="AM143" s="66"/>
    </row>
    <row r="144" spans="1:39" s="5" customFormat="1" x14ac:dyDescent="0.2">
      <c r="A144" s="64"/>
      <c r="B144" s="64"/>
      <c r="C144" s="64"/>
      <c r="D144" s="64"/>
      <c r="E144" s="64"/>
      <c r="F144" s="64"/>
      <c r="G144" s="64" t="s">
        <v>158</v>
      </c>
      <c r="H144" s="66"/>
      <c r="I144" s="66">
        <f>6576+6455+54</f>
        <v>13085</v>
      </c>
      <c r="J144" s="66"/>
      <c r="K144" s="66">
        <f>9273+9659</f>
        <v>18932</v>
      </c>
      <c r="L144" s="66"/>
      <c r="M144" s="66">
        <f>10298+11258</f>
        <v>21556</v>
      </c>
      <c r="N144" s="66"/>
      <c r="O144" s="66">
        <f>10740.23+12246.53</f>
        <v>22986.760000000002</v>
      </c>
      <c r="P144" s="66"/>
      <c r="Q144" s="66">
        <v>16425</v>
      </c>
      <c r="R144" s="66"/>
      <c r="S144" s="26">
        <v>16956.72</v>
      </c>
      <c r="T144" s="26"/>
      <c r="U144" s="26"/>
      <c r="V144" s="26"/>
      <c r="W144" s="26">
        <v>12462.46</v>
      </c>
      <c r="X144" s="26"/>
      <c r="Y144" s="26">
        <v>16500</v>
      </c>
      <c r="AA144" s="26">
        <v>16500</v>
      </c>
      <c r="AC144" s="66">
        <f t="shared" ref="AC144:AC147" si="143">AVERAGE(K144:S144)</f>
        <v>19371.296000000002</v>
      </c>
      <c r="AD144" s="66">
        <f>MAX(K144:S144)</f>
        <v>22986.760000000002</v>
      </c>
      <c r="AE144" s="66">
        <f>MIN(K144:S144)</f>
        <v>16425</v>
      </c>
      <c r="AG144" s="66">
        <f t="shared" ref="AG144:AG147" si="144">+W144-AC144</f>
        <v>-6908.836000000003</v>
      </c>
      <c r="AH144" s="66">
        <f t="shared" ref="AH144:AH147" si="145">+W144-AD144</f>
        <v>-10524.300000000003</v>
      </c>
      <c r="AI144" s="66">
        <f t="shared" ref="AI144:AI147" si="146">+W144-AE144</f>
        <v>-3962.5400000000009</v>
      </c>
      <c r="AK144" s="66">
        <f t="shared" ref="AK144:AK147" si="147">+Y144-AC144</f>
        <v>-2871.2960000000021</v>
      </c>
      <c r="AL144" s="66">
        <f t="shared" ref="AL144:AL147" si="148">+Y144-AD144</f>
        <v>-6486.760000000002</v>
      </c>
      <c r="AM144" s="66">
        <f t="shared" ref="AM144:AM147" si="149">+Y144-AE144</f>
        <v>75</v>
      </c>
    </row>
    <row r="145" spans="1:39" s="5" customFormat="1" x14ac:dyDescent="0.2">
      <c r="A145" s="64"/>
      <c r="B145" s="64"/>
      <c r="C145" s="64"/>
      <c r="D145" s="64"/>
      <c r="E145" s="64"/>
      <c r="F145" s="64"/>
      <c r="G145" s="64" t="s">
        <v>159</v>
      </c>
      <c r="H145" s="66"/>
      <c r="I145" s="66"/>
      <c r="J145" s="66"/>
      <c r="K145" s="66"/>
      <c r="L145" s="66"/>
      <c r="M145" s="66"/>
      <c r="N145" s="66"/>
      <c r="O145" s="66"/>
      <c r="P145" s="66"/>
      <c r="Q145" s="66">
        <v>2957.73</v>
      </c>
      <c r="R145" s="66"/>
      <c r="S145" s="26">
        <v>2400</v>
      </c>
      <c r="T145" s="26"/>
      <c r="U145" s="26"/>
      <c r="V145" s="26"/>
      <c r="W145" s="26">
        <v>2050</v>
      </c>
      <c r="X145" s="26"/>
      <c r="Y145" s="26">
        <v>2600</v>
      </c>
      <c r="AA145" s="26">
        <v>2600</v>
      </c>
      <c r="AC145" s="66">
        <f t="shared" si="143"/>
        <v>2678.8649999999998</v>
      </c>
      <c r="AD145" s="66">
        <f>MAX(K145:S145)</f>
        <v>2957.73</v>
      </c>
      <c r="AE145" s="66">
        <f>MIN(K145:S145)</f>
        <v>2400</v>
      </c>
      <c r="AG145" s="66">
        <f t="shared" si="144"/>
        <v>-628.86499999999978</v>
      </c>
      <c r="AH145" s="66">
        <f t="shared" si="145"/>
        <v>-907.73</v>
      </c>
      <c r="AI145" s="66">
        <f t="shared" si="146"/>
        <v>-350</v>
      </c>
      <c r="AK145" s="66">
        <f t="shared" si="147"/>
        <v>-78.864999999999782</v>
      </c>
      <c r="AL145" s="66">
        <f t="shared" si="148"/>
        <v>-357.73</v>
      </c>
      <c r="AM145" s="66">
        <f t="shared" si="149"/>
        <v>200</v>
      </c>
    </row>
    <row r="146" spans="1:39" s="5" customFormat="1" x14ac:dyDescent="0.2">
      <c r="A146" s="64"/>
      <c r="B146" s="64"/>
      <c r="C146" s="64"/>
      <c r="D146" s="64"/>
      <c r="E146" s="64"/>
      <c r="F146" s="64"/>
      <c r="G146" s="64" t="s">
        <v>160</v>
      </c>
      <c r="H146" s="66"/>
      <c r="I146" s="66"/>
      <c r="J146" s="66"/>
      <c r="K146" s="66"/>
      <c r="L146" s="66"/>
      <c r="M146" s="66"/>
      <c r="N146" s="66"/>
      <c r="O146" s="66"/>
      <c r="P146" s="66"/>
      <c r="Q146" s="66">
        <v>200</v>
      </c>
      <c r="R146" s="66"/>
      <c r="S146" s="26">
        <v>205.5</v>
      </c>
      <c r="T146" s="26"/>
      <c r="U146" s="26"/>
      <c r="V146" s="26"/>
      <c r="W146" s="26">
        <v>211.5</v>
      </c>
      <c r="X146" s="26"/>
      <c r="Y146" s="26">
        <v>500</v>
      </c>
      <c r="AA146" s="26">
        <v>500</v>
      </c>
      <c r="AC146" s="66">
        <f t="shared" si="143"/>
        <v>202.75</v>
      </c>
      <c r="AD146" s="66">
        <f>MAX(K146:S146)</f>
        <v>205.5</v>
      </c>
      <c r="AE146" s="66">
        <f>MIN(K146:S146)</f>
        <v>200</v>
      </c>
      <c r="AG146" s="66">
        <f t="shared" si="144"/>
        <v>8.75</v>
      </c>
      <c r="AH146" s="66">
        <f t="shared" si="145"/>
        <v>6</v>
      </c>
      <c r="AI146" s="66">
        <f t="shared" si="146"/>
        <v>11.5</v>
      </c>
      <c r="AK146" s="66">
        <f t="shared" si="147"/>
        <v>297.25</v>
      </c>
      <c r="AL146" s="66">
        <f t="shared" si="148"/>
        <v>294.5</v>
      </c>
      <c r="AM146" s="66">
        <f t="shared" si="149"/>
        <v>300</v>
      </c>
    </row>
    <row r="147" spans="1:39" s="5" customFormat="1" ht="12" thickBot="1" x14ac:dyDescent="0.25">
      <c r="A147" s="64"/>
      <c r="B147" s="64"/>
      <c r="C147" s="64"/>
      <c r="D147" s="64"/>
      <c r="E147" s="64"/>
      <c r="F147" s="64"/>
      <c r="G147" s="64" t="s">
        <v>161</v>
      </c>
      <c r="H147" s="66"/>
      <c r="I147" s="71">
        <v>9104</v>
      </c>
      <c r="J147" s="66"/>
      <c r="K147" s="71">
        <v>8898</v>
      </c>
      <c r="L147" s="66"/>
      <c r="M147" s="71">
        <v>9700</v>
      </c>
      <c r="N147" s="66"/>
      <c r="O147" s="71">
        <v>8000.31</v>
      </c>
      <c r="P147" s="71"/>
      <c r="Q147" s="71">
        <v>3486.63</v>
      </c>
      <c r="R147" s="71"/>
      <c r="S147" s="35">
        <v>5250.66</v>
      </c>
      <c r="T147" s="29"/>
      <c r="U147" s="29"/>
      <c r="V147" s="26"/>
      <c r="W147" s="35">
        <v>20984.04</v>
      </c>
      <c r="X147" s="26"/>
      <c r="Y147" s="35">
        <v>6000</v>
      </c>
      <c r="AA147" s="35">
        <v>5000</v>
      </c>
      <c r="AC147" s="71">
        <f t="shared" si="143"/>
        <v>7067.1200000000008</v>
      </c>
      <c r="AD147" s="71">
        <f>MAX(K147:S147)</f>
        <v>9700</v>
      </c>
      <c r="AE147" s="71">
        <f>MIN(K147:S147)</f>
        <v>3486.63</v>
      </c>
      <c r="AG147" s="71">
        <f t="shared" si="144"/>
        <v>13916.92</v>
      </c>
      <c r="AH147" s="71">
        <f t="shared" si="145"/>
        <v>11284.04</v>
      </c>
      <c r="AI147" s="71">
        <f t="shared" si="146"/>
        <v>17497.41</v>
      </c>
      <c r="AK147" s="71">
        <f t="shared" si="147"/>
        <v>-1067.1200000000008</v>
      </c>
      <c r="AL147" s="71">
        <f t="shared" si="148"/>
        <v>-3700</v>
      </c>
      <c r="AM147" s="71">
        <f t="shared" si="149"/>
        <v>2513.37</v>
      </c>
    </row>
    <row r="148" spans="1:39" s="5" customFormat="1" x14ac:dyDescent="0.2">
      <c r="A148" s="64"/>
      <c r="B148" s="64"/>
      <c r="C148" s="64"/>
      <c r="D148" s="64"/>
      <c r="E148" s="64"/>
      <c r="F148" s="64" t="s">
        <v>162</v>
      </c>
      <c r="G148" s="64"/>
      <c r="H148" s="66"/>
      <c r="I148" s="66">
        <f>ROUND(SUM(I143:I147),5)</f>
        <v>22189</v>
      </c>
      <c r="J148" s="66"/>
      <c r="K148" s="66">
        <f>ROUND(SUM(K143:K147),5)</f>
        <v>27830</v>
      </c>
      <c r="L148" s="66"/>
      <c r="M148" s="66">
        <f>ROUND(SUM(M143:M147),5)</f>
        <v>31256</v>
      </c>
      <c r="N148" s="66"/>
      <c r="O148" s="66">
        <f>ROUND(SUM(O143:O147),5)</f>
        <v>30987.07</v>
      </c>
      <c r="P148" s="66"/>
      <c r="Q148" s="66">
        <f>ROUND(SUM(Q143:Q147),5)</f>
        <v>23069.360000000001</v>
      </c>
      <c r="R148" s="66"/>
      <c r="S148" s="26">
        <f>ROUND(SUM(S143:S147),5)</f>
        <v>24812.880000000001</v>
      </c>
      <c r="T148" s="26"/>
      <c r="U148" s="26"/>
      <c r="V148" s="26"/>
      <c r="W148" s="26">
        <f>ROUND(SUM(W143:W147),5)</f>
        <v>35708</v>
      </c>
      <c r="X148" s="26"/>
      <c r="Y148" s="26">
        <f>ROUND(SUM(Y143:Y147),5)</f>
        <v>25600</v>
      </c>
      <c r="AA148" s="26">
        <f>ROUND(SUM(AA143:AA147),5)</f>
        <v>24600</v>
      </c>
      <c r="AC148" s="66">
        <f t="shared" ref="AC148:AE148" si="150">ROUND(SUM(AC143:AC147),5)</f>
        <v>29320.030999999999</v>
      </c>
      <c r="AD148" s="66">
        <f t="shared" si="150"/>
        <v>35849.99</v>
      </c>
      <c r="AE148" s="66">
        <f t="shared" si="150"/>
        <v>22511.63</v>
      </c>
      <c r="AG148" s="66">
        <f t="shared" ref="AG148:AI148" si="151">ROUND(SUM(AG143:AG147),5)</f>
        <v>6387.9690000000001</v>
      </c>
      <c r="AH148" s="66">
        <f t="shared" si="151"/>
        <v>-141.99</v>
      </c>
      <c r="AI148" s="66">
        <f t="shared" si="151"/>
        <v>13196.37</v>
      </c>
      <c r="AK148" s="66">
        <f t="shared" ref="AK148:AM148" si="152">ROUND(SUM(AK143:AK147),5)</f>
        <v>-3720.0309999999999</v>
      </c>
      <c r="AL148" s="66">
        <f t="shared" si="152"/>
        <v>-10249.99</v>
      </c>
      <c r="AM148" s="66">
        <f t="shared" si="152"/>
        <v>3088.37</v>
      </c>
    </row>
    <row r="149" spans="1:39" s="5" customFormat="1" x14ac:dyDescent="0.2">
      <c r="A149" s="64"/>
      <c r="B149" s="64"/>
      <c r="C149" s="64"/>
      <c r="D149" s="64"/>
      <c r="E149" s="64"/>
      <c r="F149" s="64" t="s">
        <v>163</v>
      </c>
      <c r="G149" s="64"/>
      <c r="H149" s="66"/>
      <c r="I149" s="66"/>
      <c r="J149" s="66"/>
      <c r="K149" s="66"/>
      <c r="L149" s="66"/>
      <c r="M149" s="66"/>
      <c r="N149" s="66"/>
      <c r="O149" s="66"/>
      <c r="P149" s="66"/>
      <c r="Q149" s="66"/>
      <c r="R149" s="66"/>
      <c r="S149" s="26"/>
      <c r="T149" s="26"/>
      <c r="U149" s="26"/>
      <c r="V149" s="26"/>
      <c r="W149" s="26"/>
      <c r="X149" s="26"/>
      <c r="Y149" s="26"/>
      <c r="AA149" s="26"/>
      <c r="AC149" s="66"/>
      <c r="AD149" s="66"/>
      <c r="AE149" s="66"/>
      <c r="AG149" s="66"/>
      <c r="AH149" s="66"/>
      <c r="AI149" s="66"/>
      <c r="AK149" s="66"/>
      <c r="AL149" s="66"/>
      <c r="AM149" s="66"/>
    </row>
    <row r="150" spans="1:39" s="5" customFormat="1" ht="12" thickBot="1" x14ac:dyDescent="0.25">
      <c r="A150" s="64"/>
      <c r="B150" s="64"/>
      <c r="C150" s="64"/>
      <c r="D150" s="64"/>
      <c r="E150" s="64"/>
      <c r="F150" s="64"/>
      <c r="G150" s="64" t="s">
        <v>164</v>
      </c>
      <c r="H150" s="66"/>
      <c r="I150" s="71"/>
      <c r="J150" s="66"/>
      <c r="K150" s="71">
        <v>315</v>
      </c>
      <c r="L150" s="66"/>
      <c r="M150" s="71">
        <v>290</v>
      </c>
      <c r="N150" s="66"/>
      <c r="O150" s="71">
        <v>148.4</v>
      </c>
      <c r="P150" s="71"/>
      <c r="Q150" s="71">
        <v>819.44</v>
      </c>
      <c r="R150" s="71"/>
      <c r="S150" s="35">
        <v>959.26</v>
      </c>
      <c r="T150" s="29"/>
      <c r="U150" s="29"/>
      <c r="V150" s="26"/>
      <c r="W150" s="35">
        <v>0</v>
      </c>
      <c r="X150" s="26"/>
      <c r="Y150" s="35">
        <v>900</v>
      </c>
      <c r="AA150" s="35">
        <v>500</v>
      </c>
      <c r="AC150" s="71">
        <f>AVERAGE(K150:S150)</f>
        <v>506.42000000000007</v>
      </c>
      <c r="AD150" s="71">
        <f>MAX(H150:O150)</f>
        <v>315</v>
      </c>
      <c r="AE150" s="71">
        <f>MIN(H150:O150)</f>
        <v>148.4</v>
      </c>
      <c r="AG150" s="71">
        <f>+W150-AC150</f>
        <v>-506.42000000000007</v>
      </c>
      <c r="AH150" s="71">
        <f>+W150-AD150</f>
        <v>-315</v>
      </c>
      <c r="AI150" s="71">
        <f>+W150-AE150</f>
        <v>-148.4</v>
      </c>
      <c r="AK150" s="71">
        <f>+Y150-AC150</f>
        <v>393.57999999999993</v>
      </c>
      <c r="AL150" s="71">
        <f>+Y150-AD150</f>
        <v>585</v>
      </c>
      <c r="AM150" s="71">
        <f>+Y150-AE150</f>
        <v>751.6</v>
      </c>
    </row>
    <row r="151" spans="1:39" s="5" customFormat="1" x14ac:dyDescent="0.2">
      <c r="A151" s="64"/>
      <c r="B151" s="64"/>
      <c r="C151" s="64"/>
      <c r="D151" s="64"/>
      <c r="E151" s="64"/>
      <c r="F151" s="64" t="s">
        <v>165</v>
      </c>
      <c r="G151" s="64"/>
      <c r="H151" s="66"/>
      <c r="I151" s="66">
        <f>ROUND(SUM(I149:I150),5)</f>
        <v>0</v>
      </c>
      <c r="J151" s="66"/>
      <c r="K151" s="66">
        <f>ROUND(SUM(K149:K150),5)</f>
        <v>315</v>
      </c>
      <c r="L151" s="66"/>
      <c r="M151" s="66">
        <f>ROUND(SUM(M149:M150),5)</f>
        <v>290</v>
      </c>
      <c r="N151" s="66"/>
      <c r="O151" s="66">
        <f>ROUND(SUM(O149:O150),5)</f>
        <v>148.4</v>
      </c>
      <c r="P151" s="66"/>
      <c r="Q151" s="66">
        <f>ROUND(SUM(Q149:Q150),5)</f>
        <v>819.44</v>
      </c>
      <c r="R151" s="66"/>
      <c r="S151" s="26">
        <f>ROUND(SUM(S149:S150),5)</f>
        <v>959.26</v>
      </c>
      <c r="T151" s="26"/>
      <c r="U151" s="26"/>
      <c r="V151" s="26"/>
      <c r="W151" s="26">
        <f>ROUND(SUM(W149:W150),5)</f>
        <v>0</v>
      </c>
      <c r="X151" s="26"/>
      <c r="Y151" s="26">
        <f>ROUND(SUM(Y149:Y150),5)</f>
        <v>900</v>
      </c>
      <c r="AA151" s="26">
        <f>ROUND(SUM(AA149:AA150),5)</f>
        <v>500</v>
      </c>
      <c r="AC151" s="66">
        <f t="shared" ref="AC151:AE151" si="153">ROUND(SUM(AC149:AC150),5)</f>
        <v>506.42</v>
      </c>
      <c r="AD151" s="66">
        <f t="shared" si="153"/>
        <v>315</v>
      </c>
      <c r="AE151" s="66">
        <f t="shared" si="153"/>
        <v>148.4</v>
      </c>
      <c r="AG151" s="66">
        <f t="shared" ref="AG151:AI151" si="154">ROUND(SUM(AG149:AG150),5)</f>
        <v>-506.42</v>
      </c>
      <c r="AH151" s="66">
        <f t="shared" si="154"/>
        <v>-315</v>
      </c>
      <c r="AI151" s="66">
        <f t="shared" si="154"/>
        <v>-148.4</v>
      </c>
      <c r="AK151" s="66">
        <f t="shared" ref="AK151:AM151" si="155">ROUND(SUM(AK149:AK150),5)</f>
        <v>393.58</v>
      </c>
      <c r="AL151" s="66">
        <f t="shared" si="155"/>
        <v>585</v>
      </c>
      <c r="AM151" s="66">
        <f t="shared" si="155"/>
        <v>751.6</v>
      </c>
    </row>
    <row r="152" spans="1:39" s="5" customFormat="1" x14ac:dyDescent="0.2">
      <c r="A152" s="64"/>
      <c r="B152" s="64"/>
      <c r="C152" s="64"/>
      <c r="D152" s="64"/>
      <c r="E152" s="64"/>
      <c r="F152" s="64" t="s">
        <v>166</v>
      </c>
      <c r="G152" s="64"/>
      <c r="H152" s="66"/>
      <c r="I152" s="66"/>
      <c r="J152" s="66"/>
      <c r="K152" s="66"/>
      <c r="L152" s="66"/>
      <c r="M152" s="66"/>
      <c r="N152" s="66"/>
      <c r="O152" s="66"/>
      <c r="P152" s="66"/>
      <c r="Q152" s="66"/>
      <c r="R152" s="66"/>
      <c r="S152" s="26"/>
      <c r="T152" s="26"/>
      <c r="U152" s="26"/>
      <c r="V152" s="26"/>
      <c r="W152" s="26"/>
      <c r="X152" s="26"/>
      <c r="Y152" s="26"/>
      <c r="AA152" s="26"/>
      <c r="AC152" s="66"/>
      <c r="AD152" s="66"/>
      <c r="AE152" s="66"/>
      <c r="AG152" s="66"/>
      <c r="AH152" s="66"/>
      <c r="AI152" s="66"/>
      <c r="AK152" s="66"/>
      <c r="AL152" s="66"/>
      <c r="AM152" s="66"/>
    </row>
    <row r="153" spans="1:39" s="5" customFormat="1" x14ac:dyDescent="0.2">
      <c r="A153" s="64"/>
      <c r="B153" s="64"/>
      <c r="C153" s="64"/>
      <c r="D153" s="64"/>
      <c r="E153" s="64"/>
      <c r="F153" s="64"/>
      <c r="G153" s="64" t="s">
        <v>167</v>
      </c>
      <c r="H153" s="66"/>
      <c r="I153" s="66">
        <v>4562</v>
      </c>
      <c r="J153" s="66"/>
      <c r="K153" s="66">
        <v>6850</v>
      </c>
      <c r="L153" s="66"/>
      <c r="M153" s="66">
        <v>10745</v>
      </c>
      <c r="N153" s="66"/>
      <c r="O153" s="66">
        <v>11411.43</v>
      </c>
      <c r="P153" s="66"/>
      <c r="Q153" s="66">
        <v>5508.94</v>
      </c>
      <c r="R153" s="66"/>
      <c r="S153" s="26">
        <v>5334.6</v>
      </c>
      <c r="T153" s="26"/>
      <c r="U153" s="26"/>
      <c r="V153" s="26"/>
      <c r="W153" s="26">
        <v>2195.17</v>
      </c>
      <c r="X153" s="26"/>
      <c r="Y153" s="26">
        <v>7500</v>
      </c>
      <c r="AA153" s="26">
        <v>30000</v>
      </c>
      <c r="AC153" s="66">
        <f t="shared" ref="AC153:AC160" si="156">AVERAGE(K153:S153)</f>
        <v>7969.9940000000006</v>
      </c>
      <c r="AD153" s="66">
        <f t="shared" ref="AD153:AD160" si="157">MAX(K153:S153)</f>
        <v>11411.43</v>
      </c>
      <c r="AE153" s="66">
        <f t="shared" ref="AE153:AE160" si="158">MIN(K153:S153)</f>
        <v>5334.6</v>
      </c>
      <c r="AG153" s="66">
        <f t="shared" ref="AG153:AG160" si="159">+W153-AC153</f>
        <v>-5774.8240000000005</v>
      </c>
      <c r="AH153" s="66">
        <f t="shared" ref="AH153:AH160" si="160">+W153-AD153</f>
        <v>-9216.26</v>
      </c>
      <c r="AI153" s="66">
        <f t="shared" ref="AI153:AI160" si="161">+W153-AE153</f>
        <v>-3139.4300000000003</v>
      </c>
      <c r="AK153" s="66">
        <f t="shared" ref="AK153:AK160" si="162">+Y153-AC153</f>
        <v>-469.9940000000006</v>
      </c>
      <c r="AL153" s="66">
        <f t="shared" ref="AL153:AL160" si="163">+Y153-AD153</f>
        <v>-3911.4300000000003</v>
      </c>
      <c r="AM153" s="66">
        <f t="shared" ref="AM153:AM160" si="164">+Y153-AE153</f>
        <v>2165.3999999999996</v>
      </c>
    </row>
    <row r="154" spans="1:39" s="5" customFormat="1" x14ac:dyDescent="0.2">
      <c r="A154" s="64"/>
      <c r="B154" s="64"/>
      <c r="C154" s="64"/>
      <c r="D154" s="64"/>
      <c r="E154" s="64"/>
      <c r="F154" s="64"/>
      <c r="G154" s="64" t="s">
        <v>168</v>
      </c>
      <c r="H154" s="66"/>
      <c r="I154" s="66">
        <v>44786</v>
      </c>
      <c r="J154" s="66"/>
      <c r="K154" s="66">
        <v>56235</v>
      </c>
      <c r="L154" s="66"/>
      <c r="M154" s="66">
        <v>81329</v>
      </c>
      <c r="N154" s="66"/>
      <c r="O154" s="66">
        <v>117408.85</v>
      </c>
      <c r="P154" s="66"/>
      <c r="Q154" s="66">
        <v>190511.95</v>
      </c>
      <c r="R154" s="66"/>
      <c r="S154" s="26">
        <v>86882.05</v>
      </c>
      <c r="T154" s="26"/>
      <c r="U154" s="26"/>
      <c r="V154" s="26"/>
      <c r="W154" s="26">
        <v>104592</v>
      </c>
      <c r="X154" s="26"/>
      <c r="Y154" s="26">
        <v>67838</v>
      </c>
      <c r="AA154" s="26">
        <v>65000</v>
      </c>
      <c r="AC154" s="66">
        <f t="shared" si="156"/>
        <v>106473.37000000002</v>
      </c>
      <c r="AD154" s="66">
        <f t="shared" si="157"/>
        <v>190511.95</v>
      </c>
      <c r="AE154" s="66">
        <f t="shared" si="158"/>
        <v>56235</v>
      </c>
      <c r="AG154" s="66">
        <f t="shared" si="159"/>
        <v>-1881.3700000000244</v>
      </c>
      <c r="AH154" s="66">
        <f t="shared" si="160"/>
        <v>-85919.950000000012</v>
      </c>
      <c r="AI154" s="66">
        <f t="shared" si="161"/>
        <v>48357</v>
      </c>
      <c r="AK154" s="66">
        <f t="shared" si="162"/>
        <v>-38635.370000000024</v>
      </c>
      <c r="AL154" s="66">
        <f t="shared" si="163"/>
        <v>-122673.95000000001</v>
      </c>
      <c r="AM154" s="66">
        <f t="shared" si="164"/>
        <v>11603</v>
      </c>
    </row>
    <row r="155" spans="1:39" s="5" customFormat="1" x14ac:dyDescent="0.2">
      <c r="A155" s="64"/>
      <c r="B155" s="64"/>
      <c r="C155" s="64"/>
      <c r="D155" s="64"/>
      <c r="E155" s="64"/>
      <c r="F155" s="64"/>
      <c r="G155" s="64" t="s">
        <v>169</v>
      </c>
      <c r="H155" s="66"/>
      <c r="I155" s="66">
        <v>88135</v>
      </c>
      <c r="J155" s="66"/>
      <c r="K155" s="66">
        <v>79165</v>
      </c>
      <c r="L155" s="66"/>
      <c r="M155" s="66">
        <v>77839</v>
      </c>
      <c r="N155" s="66"/>
      <c r="O155" s="66">
        <v>76800.210000000006</v>
      </c>
      <c r="P155" s="66"/>
      <c r="Q155" s="66">
        <v>81305.5</v>
      </c>
      <c r="R155" s="66"/>
      <c r="S155" s="26">
        <v>65918.240000000005</v>
      </c>
      <c r="T155" s="26"/>
      <c r="U155" s="26"/>
      <c r="V155" s="26"/>
      <c r="W155" s="26">
        <v>43561.77</v>
      </c>
      <c r="X155" s="26"/>
      <c r="Y155" s="26">
        <v>73977</v>
      </c>
      <c r="AA155" s="26">
        <v>74000</v>
      </c>
      <c r="AC155" s="66">
        <f t="shared" si="156"/>
        <v>76205.59</v>
      </c>
      <c r="AD155" s="66">
        <f t="shared" si="157"/>
        <v>81305.5</v>
      </c>
      <c r="AE155" s="66">
        <f t="shared" si="158"/>
        <v>65918.240000000005</v>
      </c>
      <c r="AG155" s="66">
        <f t="shared" si="159"/>
        <v>-32643.82</v>
      </c>
      <c r="AH155" s="66">
        <f t="shared" si="160"/>
        <v>-37743.730000000003</v>
      </c>
      <c r="AI155" s="66">
        <f t="shared" si="161"/>
        <v>-22356.470000000008</v>
      </c>
      <c r="AK155" s="66">
        <f t="shared" si="162"/>
        <v>-2228.5899999999965</v>
      </c>
      <c r="AL155" s="66">
        <f t="shared" si="163"/>
        <v>-7328.5</v>
      </c>
      <c r="AM155" s="66">
        <f t="shared" si="164"/>
        <v>8058.7599999999948</v>
      </c>
    </row>
    <row r="156" spans="1:39" s="5" customFormat="1" x14ac:dyDescent="0.2">
      <c r="A156" s="64"/>
      <c r="B156" s="64"/>
      <c r="C156" s="64"/>
      <c r="D156" s="64"/>
      <c r="E156" s="64"/>
      <c r="F156" s="64"/>
      <c r="G156" s="64" t="s">
        <v>170</v>
      </c>
      <c r="H156" s="66"/>
      <c r="I156" s="66"/>
      <c r="J156" s="66"/>
      <c r="K156" s="66"/>
      <c r="L156" s="66"/>
      <c r="M156" s="66"/>
      <c r="N156" s="66"/>
      <c r="O156" s="66">
        <v>85</v>
      </c>
      <c r="P156" s="66"/>
      <c r="Q156" s="66">
        <v>2850</v>
      </c>
      <c r="R156" s="66"/>
      <c r="S156" s="26">
        <v>2784.59</v>
      </c>
      <c r="T156" s="26"/>
      <c r="U156" s="26"/>
      <c r="V156" s="26"/>
      <c r="W156" s="26">
        <v>190.15</v>
      </c>
      <c r="X156" s="26"/>
      <c r="Y156" s="26">
        <v>3000</v>
      </c>
      <c r="AA156" s="26">
        <v>2500</v>
      </c>
      <c r="AC156" s="66">
        <f t="shared" si="156"/>
        <v>1906.53</v>
      </c>
      <c r="AD156" s="66">
        <f t="shared" si="157"/>
        <v>2850</v>
      </c>
      <c r="AE156" s="66">
        <f t="shared" si="158"/>
        <v>85</v>
      </c>
      <c r="AG156" s="66">
        <f t="shared" si="159"/>
        <v>-1716.3799999999999</v>
      </c>
      <c r="AH156" s="66">
        <f t="shared" si="160"/>
        <v>-2659.85</v>
      </c>
      <c r="AI156" s="66">
        <f t="shared" si="161"/>
        <v>105.15</v>
      </c>
      <c r="AK156" s="66">
        <f t="shared" si="162"/>
        <v>1093.47</v>
      </c>
      <c r="AL156" s="66">
        <f t="shared" si="163"/>
        <v>150</v>
      </c>
      <c r="AM156" s="66">
        <f t="shared" si="164"/>
        <v>2915</v>
      </c>
    </row>
    <row r="157" spans="1:39" s="5" customFormat="1" x14ac:dyDescent="0.2">
      <c r="A157" s="64"/>
      <c r="B157" s="64"/>
      <c r="C157" s="64"/>
      <c r="D157" s="64"/>
      <c r="E157" s="64"/>
      <c r="F157" s="64"/>
      <c r="G157" s="64" t="s">
        <v>171</v>
      </c>
      <c r="H157" s="66"/>
      <c r="I157" s="66"/>
      <c r="J157" s="66"/>
      <c r="K157" s="66"/>
      <c r="L157" s="66"/>
      <c r="M157" s="66"/>
      <c r="N157" s="66"/>
      <c r="O157" s="66"/>
      <c r="P157" s="66"/>
      <c r="Q157" s="66">
        <v>5024.32</v>
      </c>
      <c r="R157" s="66"/>
      <c r="S157" s="26">
        <v>4655.99</v>
      </c>
      <c r="T157" s="26"/>
      <c r="U157" s="26"/>
      <c r="V157" s="26"/>
      <c r="W157" s="26">
        <v>1090</v>
      </c>
      <c r="X157" s="26"/>
      <c r="Y157" s="26">
        <v>5000</v>
      </c>
      <c r="AA157" s="26">
        <v>2500</v>
      </c>
      <c r="AC157" s="66">
        <f t="shared" si="156"/>
        <v>4840.1549999999997</v>
      </c>
      <c r="AD157" s="66">
        <f t="shared" si="157"/>
        <v>5024.32</v>
      </c>
      <c r="AE157" s="66">
        <f t="shared" si="158"/>
        <v>4655.99</v>
      </c>
      <c r="AG157" s="66">
        <f t="shared" si="159"/>
        <v>-3750.1549999999997</v>
      </c>
      <c r="AH157" s="66">
        <f t="shared" si="160"/>
        <v>-3934.3199999999997</v>
      </c>
      <c r="AI157" s="66">
        <f t="shared" si="161"/>
        <v>-3565.99</v>
      </c>
      <c r="AK157" s="66">
        <f t="shared" si="162"/>
        <v>159.84500000000025</v>
      </c>
      <c r="AL157" s="66">
        <f t="shared" si="163"/>
        <v>-24.319999999999709</v>
      </c>
      <c r="AM157" s="66">
        <f t="shared" si="164"/>
        <v>344.01000000000022</v>
      </c>
    </row>
    <row r="158" spans="1:39" s="5" customFormat="1" x14ac:dyDescent="0.2">
      <c r="A158" s="64"/>
      <c r="B158" s="64"/>
      <c r="C158" s="64"/>
      <c r="D158" s="64"/>
      <c r="E158" s="64"/>
      <c r="F158" s="64"/>
      <c r="G158" s="64" t="s">
        <v>172</v>
      </c>
      <c r="H158" s="66"/>
      <c r="I158" s="66">
        <v>11572</v>
      </c>
      <c r="J158" s="66"/>
      <c r="K158" s="66">
        <v>19433</v>
      </c>
      <c r="L158" s="66"/>
      <c r="M158" s="66">
        <v>29013</v>
      </c>
      <c r="N158" s="66"/>
      <c r="O158" s="66">
        <v>20234.29</v>
      </c>
      <c r="P158" s="66"/>
      <c r="Q158" s="66">
        <v>16654.560000000001</v>
      </c>
      <c r="R158" s="66"/>
      <c r="S158" s="26">
        <v>13045.35</v>
      </c>
      <c r="T158" s="26"/>
      <c r="U158" s="26"/>
      <c r="V158" s="26"/>
      <c r="W158" s="26">
        <v>7780.93</v>
      </c>
      <c r="X158" s="26"/>
      <c r="Y158" s="26">
        <v>15000</v>
      </c>
      <c r="AA158" s="26">
        <v>10000</v>
      </c>
      <c r="AC158" s="66">
        <f t="shared" si="156"/>
        <v>19676.04</v>
      </c>
      <c r="AD158" s="66">
        <f t="shared" si="157"/>
        <v>29013</v>
      </c>
      <c r="AE158" s="66">
        <f t="shared" si="158"/>
        <v>13045.35</v>
      </c>
      <c r="AG158" s="66">
        <f t="shared" si="159"/>
        <v>-11895.11</v>
      </c>
      <c r="AH158" s="66">
        <f t="shared" si="160"/>
        <v>-21232.07</v>
      </c>
      <c r="AI158" s="66">
        <f t="shared" si="161"/>
        <v>-5264.42</v>
      </c>
      <c r="AK158" s="66">
        <f t="shared" si="162"/>
        <v>-4676.0400000000009</v>
      </c>
      <c r="AL158" s="66">
        <f t="shared" si="163"/>
        <v>-14013</v>
      </c>
      <c r="AM158" s="66">
        <f t="shared" si="164"/>
        <v>1954.6499999999996</v>
      </c>
    </row>
    <row r="159" spans="1:39" s="5" customFormat="1" x14ac:dyDescent="0.2">
      <c r="A159" s="64"/>
      <c r="B159" s="64"/>
      <c r="C159" s="64"/>
      <c r="D159" s="64"/>
      <c r="E159" s="64"/>
      <c r="F159" s="64"/>
      <c r="G159" s="64" t="s">
        <v>173</v>
      </c>
      <c r="H159" s="66"/>
      <c r="I159" s="66"/>
      <c r="J159" s="66"/>
      <c r="K159" s="66"/>
      <c r="L159" s="66"/>
      <c r="M159" s="66"/>
      <c r="N159" s="66"/>
      <c r="O159" s="66"/>
      <c r="P159" s="66"/>
      <c r="Q159" s="66">
        <v>1896.19</v>
      </c>
      <c r="R159" s="66"/>
      <c r="S159" s="26">
        <v>2640.75</v>
      </c>
      <c r="T159" s="26"/>
      <c r="U159" s="26"/>
      <c r="V159" s="26"/>
      <c r="W159" s="26">
        <v>3311.95</v>
      </c>
      <c r="X159" s="26"/>
      <c r="Y159" s="26">
        <v>2000</v>
      </c>
      <c r="AA159" s="26">
        <v>4000</v>
      </c>
      <c r="AC159" s="66">
        <f t="shared" si="156"/>
        <v>2268.4700000000003</v>
      </c>
      <c r="AD159" s="66">
        <f t="shared" si="157"/>
        <v>2640.75</v>
      </c>
      <c r="AE159" s="66">
        <f t="shared" si="158"/>
        <v>1896.19</v>
      </c>
      <c r="AG159" s="66">
        <f t="shared" si="159"/>
        <v>1043.4799999999996</v>
      </c>
      <c r="AH159" s="66">
        <f t="shared" si="160"/>
        <v>671.19999999999982</v>
      </c>
      <c r="AI159" s="66">
        <f t="shared" si="161"/>
        <v>1415.7599999999998</v>
      </c>
      <c r="AK159" s="66">
        <f t="shared" si="162"/>
        <v>-268.47000000000025</v>
      </c>
      <c r="AL159" s="66">
        <f t="shared" si="163"/>
        <v>-640.75</v>
      </c>
      <c r="AM159" s="66">
        <f t="shared" si="164"/>
        <v>103.80999999999995</v>
      </c>
    </row>
    <row r="160" spans="1:39" s="5" customFormat="1" ht="12" thickBot="1" x14ac:dyDescent="0.25">
      <c r="A160" s="64"/>
      <c r="B160" s="64"/>
      <c r="C160" s="64"/>
      <c r="D160" s="64"/>
      <c r="E160" s="64"/>
      <c r="F160" s="64"/>
      <c r="G160" s="64" t="s">
        <v>174</v>
      </c>
      <c r="H160" s="66"/>
      <c r="I160" s="69">
        <v>9428</v>
      </c>
      <c r="J160" s="66"/>
      <c r="K160" s="69">
        <v>12249</v>
      </c>
      <c r="L160" s="66"/>
      <c r="M160" s="69">
        <v>19854</v>
      </c>
      <c r="N160" s="66"/>
      <c r="O160" s="69">
        <v>19238.939999999999</v>
      </c>
      <c r="P160" s="69"/>
      <c r="Q160" s="66">
        <v>8903.7900000000009</v>
      </c>
      <c r="R160" s="66"/>
      <c r="S160" s="26">
        <v>4082.49</v>
      </c>
      <c r="T160" s="29"/>
      <c r="U160" s="29"/>
      <c r="V160" s="26"/>
      <c r="W160" s="26">
        <v>2459.5100000000002</v>
      </c>
      <c r="X160" s="26"/>
      <c r="Y160" s="29">
        <v>11000</v>
      </c>
      <c r="AA160" s="29">
        <v>5000</v>
      </c>
      <c r="AC160" s="69">
        <f t="shared" si="156"/>
        <v>12865.644</v>
      </c>
      <c r="AD160" s="69">
        <f t="shared" si="157"/>
        <v>19854</v>
      </c>
      <c r="AE160" s="69">
        <f t="shared" si="158"/>
        <v>4082.49</v>
      </c>
      <c r="AG160" s="69">
        <f t="shared" si="159"/>
        <v>-10406.134</v>
      </c>
      <c r="AH160" s="69">
        <f t="shared" si="160"/>
        <v>-17394.489999999998</v>
      </c>
      <c r="AI160" s="69">
        <f t="shared" si="161"/>
        <v>-1622.9799999999996</v>
      </c>
      <c r="AK160" s="69">
        <f t="shared" si="162"/>
        <v>-1865.6440000000002</v>
      </c>
      <c r="AL160" s="69">
        <f t="shared" si="163"/>
        <v>-8854</v>
      </c>
      <c r="AM160" s="69">
        <f t="shared" si="164"/>
        <v>6917.51</v>
      </c>
    </row>
    <row r="161" spans="1:40" s="5" customFormat="1" ht="12" thickBot="1" x14ac:dyDescent="0.25">
      <c r="A161" s="64"/>
      <c r="B161" s="64"/>
      <c r="C161" s="64"/>
      <c r="D161" s="64"/>
      <c r="E161" s="64"/>
      <c r="F161" s="64" t="s">
        <v>175</v>
      </c>
      <c r="G161" s="64"/>
      <c r="H161" s="66"/>
      <c r="I161" s="70">
        <f>ROUND(SUM(I152:I160),5)</f>
        <v>158483</v>
      </c>
      <c r="J161" s="66"/>
      <c r="K161" s="70">
        <f>ROUND(SUM(K152:K160),5)</f>
        <v>173932</v>
      </c>
      <c r="L161" s="66"/>
      <c r="M161" s="70">
        <f>ROUND(SUM(M152:M160),5)</f>
        <v>218780</v>
      </c>
      <c r="N161" s="66"/>
      <c r="O161" s="70">
        <f>ROUND(SUM(O152:O160),5)</f>
        <v>245178.72</v>
      </c>
      <c r="P161" s="70"/>
      <c r="Q161" s="70">
        <f>ROUND(SUM(Q152:Q160),5)</f>
        <v>312655.25</v>
      </c>
      <c r="R161" s="70"/>
      <c r="S161" s="32">
        <f>ROUND(SUM(S152:S160),5)</f>
        <v>185344.06</v>
      </c>
      <c r="T161" s="29"/>
      <c r="U161" s="29"/>
      <c r="V161" s="26"/>
      <c r="W161" s="32">
        <f>ROUND(SUM(W152:W160),5)</f>
        <v>165181.48000000001</v>
      </c>
      <c r="X161" s="26"/>
      <c r="Y161" s="32">
        <f>ROUND(SUM(Y152:Y160),5)</f>
        <v>185315</v>
      </c>
      <c r="AA161" s="32">
        <f>ROUND(SUM(AA152:AA160),5)</f>
        <v>193000</v>
      </c>
      <c r="AC161" s="70">
        <f t="shared" ref="AC161:AE161" si="165">ROUND(SUM(AC152:AC160),5)</f>
        <v>232205.79300000001</v>
      </c>
      <c r="AD161" s="70">
        <f t="shared" si="165"/>
        <v>342610.95</v>
      </c>
      <c r="AE161" s="70">
        <f t="shared" si="165"/>
        <v>151252.85999999999</v>
      </c>
      <c r="AG161" s="70">
        <f t="shared" ref="AG161:AI161" si="166">ROUND(SUM(AG152:AG160),5)</f>
        <v>-67024.312999999995</v>
      </c>
      <c r="AH161" s="70">
        <f t="shared" si="166"/>
        <v>-177429.47</v>
      </c>
      <c r="AI161" s="70">
        <f t="shared" si="166"/>
        <v>13928.62</v>
      </c>
      <c r="AK161" s="70">
        <f t="shared" ref="AK161:AM161" si="167">ROUND(SUM(AK152:AK160),5)</f>
        <v>-46890.792999999998</v>
      </c>
      <c r="AL161" s="70">
        <f t="shared" si="167"/>
        <v>-157295.95000000001</v>
      </c>
      <c r="AM161" s="70">
        <f t="shared" si="167"/>
        <v>34062.14</v>
      </c>
    </row>
    <row r="162" spans="1:40" s="5" customFormat="1" x14ac:dyDescent="0.2">
      <c r="A162" s="64"/>
      <c r="B162" s="64"/>
      <c r="C162" s="64"/>
      <c r="D162" s="64"/>
      <c r="E162" s="73" t="s">
        <v>176</v>
      </c>
      <c r="F162" s="64"/>
      <c r="G162" s="64"/>
      <c r="H162" s="66"/>
      <c r="I162" s="66">
        <f>ROUND(I130+I137+I142+I148+I151+I161,5)</f>
        <v>450890</v>
      </c>
      <c r="J162" s="66"/>
      <c r="K162" s="66">
        <f>ROUND(K130+K137+K142+K148+K151+K161,5)</f>
        <v>485452</v>
      </c>
      <c r="L162" s="66"/>
      <c r="M162" s="66">
        <f>ROUND(M130+M137+M142+M148+M151+M161,5)</f>
        <v>541583</v>
      </c>
      <c r="N162" s="66"/>
      <c r="O162" s="66">
        <f>ROUND(O130+O137+O142+O148+O151+O161,5)</f>
        <v>595946.06999999995</v>
      </c>
      <c r="P162" s="66"/>
      <c r="Q162" s="66">
        <f>ROUND(Q130+Q137+Q142+Q148+Q151+Q161,5)</f>
        <v>672973.61</v>
      </c>
      <c r="R162" s="66"/>
      <c r="S162" s="26">
        <f>ROUND(S130+S137+S142+S148+S151+S161,5)</f>
        <v>577033.68999999994</v>
      </c>
      <c r="T162" s="26"/>
      <c r="U162" s="26"/>
      <c r="V162" s="26"/>
      <c r="W162" s="26">
        <f>ROUND(W130+W137+W142+W148+W151+W161,5)</f>
        <v>448395.46</v>
      </c>
      <c r="X162" s="26"/>
      <c r="Y162" s="26">
        <f>ROUND(Y130+Y137+Y142+Y148+Y151+Y161,5)</f>
        <v>586083</v>
      </c>
      <c r="AA162" s="26">
        <f>ROUND(AA130+AA137+AA142+AA148+AA151+AA161,5)</f>
        <v>609017.60640000005</v>
      </c>
      <c r="AC162" s="66">
        <f t="shared" ref="AC162:AE162" si="168">ROUND(AC130+AC137+AC142+AC148+AC151+AC161,5)</f>
        <v>585814.97699999996</v>
      </c>
      <c r="AD162" s="66">
        <f t="shared" si="168"/>
        <v>761392.59</v>
      </c>
      <c r="AE162" s="66">
        <f t="shared" si="168"/>
        <v>451519.04</v>
      </c>
      <c r="AG162" s="66">
        <f>ROUND(AG130+AG137+AG142+AG148+AG151+AG161,5)</f>
        <v>-137419.51699999999</v>
      </c>
      <c r="AH162" s="66">
        <f>ROUND(AH130+AH137+AH142+AH148+AH151+AH161,5)</f>
        <v>-312997.13</v>
      </c>
      <c r="AI162" s="66">
        <f>ROUND(AI130+AI137+AI142+AI148+AI151+AI161,5)</f>
        <v>-3123.58</v>
      </c>
      <c r="AK162" s="66">
        <f>ROUND(AK130+AK137+AK142+AK148+AK151+AK161,5)</f>
        <v>268.02300000000002</v>
      </c>
      <c r="AL162" s="66">
        <f>ROUND(AL130+AL137+AL142+AL148+AL151+AL161,5)</f>
        <v>-175309.59</v>
      </c>
      <c r="AM162" s="66">
        <f>ROUND(AM130+AM137+AM142+AM148+AM151+AM161,5)</f>
        <v>134563.96</v>
      </c>
    </row>
    <row r="163" spans="1:40" s="5" customFormat="1" x14ac:dyDescent="0.2">
      <c r="A163" s="64"/>
      <c r="B163" s="64"/>
      <c r="C163" s="64"/>
      <c r="D163" s="64"/>
      <c r="E163" s="64"/>
      <c r="F163" s="64"/>
      <c r="G163" s="64"/>
      <c r="H163" s="66"/>
      <c r="I163" s="66"/>
      <c r="J163" s="66"/>
      <c r="K163" s="66"/>
      <c r="L163" s="66"/>
      <c r="M163" s="66"/>
      <c r="N163" s="66"/>
      <c r="O163" s="66"/>
      <c r="P163" s="66"/>
      <c r="Q163" s="66"/>
      <c r="R163" s="66"/>
      <c r="S163" s="26"/>
      <c r="T163" s="26"/>
      <c r="U163" s="26"/>
      <c r="V163" s="26"/>
      <c r="W163" s="26"/>
      <c r="X163" s="26"/>
      <c r="Y163" s="26"/>
      <c r="AA163" s="26"/>
      <c r="AC163" s="66"/>
      <c r="AD163" s="66"/>
      <c r="AE163" s="66"/>
      <c r="AG163" s="66"/>
      <c r="AH163" s="66"/>
      <c r="AI163" s="66"/>
      <c r="AK163" s="66"/>
      <c r="AL163" s="66"/>
      <c r="AM163" s="66"/>
    </row>
    <row r="164" spans="1:40" s="5" customFormat="1" x14ac:dyDescent="0.2">
      <c r="A164" s="64"/>
      <c r="B164" s="64"/>
      <c r="C164" s="64"/>
      <c r="D164" s="64"/>
      <c r="E164" s="73" t="s">
        <v>177</v>
      </c>
      <c r="F164" s="64"/>
      <c r="G164" s="64"/>
      <c r="H164" s="66"/>
      <c r="I164" s="66"/>
      <c r="J164" s="66"/>
      <c r="K164" s="66"/>
      <c r="L164" s="66"/>
      <c r="M164" s="66"/>
      <c r="N164" s="66"/>
      <c r="O164" s="66"/>
      <c r="P164" s="66"/>
      <c r="Q164" s="66"/>
      <c r="R164" s="66"/>
      <c r="S164" s="26"/>
      <c r="T164" s="26"/>
      <c r="U164" s="26"/>
      <c r="V164" s="26"/>
      <c r="W164" s="26"/>
      <c r="X164" s="26"/>
      <c r="Y164" s="26"/>
      <c r="AA164" s="26"/>
      <c r="AC164" s="66"/>
      <c r="AD164" s="66"/>
      <c r="AE164" s="66"/>
      <c r="AG164" s="66"/>
      <c r="AH164" s="66"/>
      <c r="AI164" s="66"/>
      <c r="AK164" s="66"/>
      <c r="AL164" s="66"/>
      <c r="AM164" s="66"/>
    </row>
    <row r="165" spans="1:40" s="5" customFormat="1" x14ac:dyDescent="0.2">
      <c r="A165" s="64"/>
      <c r="B165" s="64"/>
      <c r="C165" s="64"/>
      <c r="D165" s="64"/>
      <c r="E165" s="64"/>
      <c r="F165" s="64" t="s">
        <v>178</v>
      </c>
      <c r="G165" s="64"/>
      <c r="H165" s="66"/>
      <c r="I165" s="66"/>
      <c r="J165" s="66"/>
      <c r="K165" s="66"/>
      <c r="L165" s="66"/>
      <c r="M165" s="66"/>
      <c r="N165" s="66"/>
      <c r="O165" s="66"/>
      <c r="P165" s="66"/>
      <c r="Q165" s="66"/>
      <c r="R165" s="66"/>
      <c r="S165" s="26"/>
      <c r="T165" s="26"/>
      <c r="U165" s="26"/>
      <c r="V165" s="26"/>
      <c r="W165" s="26"/>
      <c r="X165" s="26"/>
      <c r="Y165" s="26"/>
      <c r="AA165" s="26"/>
      <c r="AC165" s="66"/>
      <c r="AD165" s="66"/>
      <c r="AE165" s="66"/>
      <c r="AG165" s="66"/>
      <c r="AH165" s="66"/>
      <c r="AI165" s="66"/>
      <c r="AK165" s="66"/>
      <c r="AL165" s="66"/>
      <c r="AM165" s="66"/>
    </row>
    <row r="166" spans="1:40" s="5" customFormat="1" x14ac:dyDescent="0.2">
      <c r="A166" s="64"/>
      <c r="B166" s="64"/>
      <c r="C166" s="64"/>
      <c r="D166" s="64"/>
      <c r="E166" s="64"/>
      <c r="F166" s="64"/>
      <c r="G166" s="64" t="s">
        <v>179</v>
      </c>
      <c r="H166" s="66"/>
      <c r="I166" s="66">
        <v>587493</v>
      </c>
      <c r="J166" s="66"/>
      <c r="K166" s="66">
        <v>581647</v>
      </c>
      <c r="L166" s="66"/>
      <c r="M166" s="66">
        <v>528042</v>
      </c>
      <c r="N166" s="66"/>
      <c r="O166" s="66">
        <v>514245.02</v>
      </c>
      <c r="P166" s="66"/>
      <c r="Q166" s="66">
        <v>541982.52</v>
      </c>
      <c r="R166" s="66"/>
      <c r="S166" s="26">
        <v>543489.18000000005</v>
      </c>
      <c r="T166" s="26"/>
      <c r="U166" s="26"/>
      <c r="V166" s="26"/>
      <c r="W166" s="26">
        <v>548491.15</v>
      </c>
      <c r="X166" s="26"/>
      <c r="Y166" s="26">
        <v>628500</v>
      </c>
      <c r="AA166" s="26">
        <v>641881</v>
      </c>
      <c r="AC166" s="66">
        <f t="shared" ref="AC166:AC172" si="169">AVERAGE(K166:S166)</f>
        <v>541881.14400000009</v>
      </c>
      <c r="AD166" s="66">
        <f t="shared" ref="AD166:AD172" si="170">MAX(K166:S166)</f>
        <v>581647</v>
      </c>
      <c r="AE166" s="66">
        <f t="shared" ref="AE166:AE172" si="171">MIN(K166:S166)</f>
        <v>514245.02</v>
      </c>
      <c r="AG166" s="66">
        <f t="shared" ref="AG166:AG172" si="172">+W166-AC166</f>
        <v>6610.0059999999357</v>
      </c>
      <c r="AH166" s="66">
        <f t="shared" ref="AH166:AH172" si="173">+W166-AD166</f>
        <v>-33155.849999999977</v>
      </c>
      <c r="AI166" s="66">
        <f t="shared" ref="AI166:AI172" si="174">+W166-AE166</f>
        <v>34246.130000000005</v>
      </c>
      <c r="AK166" s="66">
        <f t="shared" ref="AK166:AK172" si="175">+Y166-AC166</f>
        <v>86618.855999999912</v>
      </c>
      <c r="AL166" s="66">
        <f t="shared" ref="AL166:AL172" si="176">+Y166-AD166</f>
        <v>46853</v>
      </c>
      <c r="AM166" s="66">
        <f t="shared" ref="AM166:AM172" si="177">+Y166-AE166</f>
        <v>114254.97999999998</v>
      </c>
    </row>
    <row r="167" spans="1:40" s="5" customFormat="1" x14ac:dyDescent="0.2">
      <c r="A167" s="64"/>
      <c r="B167" s="64"/>
      <c r="C167" s="64"/>
      <c r="D167" s="64"/>
      <c r="E167" s="64"/>
      <c r="F167" s="64"/>
      <c r="G167" s="68" t="s">
        <v>180</v>
      </c>
      <c r="H167" s="66"/>
      <c r="I167" s="66">
        <v>29214</v>
      </c>
      <c r="J167" s="66"/>
      <c r="K167" s="66">
        <v>21451</v>
      </c>
      <c r="L167" s="66"/>
      <c r="M167" s="66">
        <v>20480</v>
      </c>
      <c r="N167" s="66"/>
      <c r="O167" s="66">
        <v>3800</v>
      </c>
      <c r="P167" s="66"/>
      <c r="Q167" s="66">
        <v>9764</v>
      </c>
      <c r="R167" s="66"/>
      <c r="S167" s="26">
        <v>20614.75</v>
      </c>
      <c r="T167" s="26"/>
      <c r="U167" s="26"/>
      <c r="V167" s="26"/>
      <c r="W167" s="26">
        <v>0</v>
      </c>
      <c r="X167" s="26"/>
      <c r="Y167" s="26">
        <v>20000</v>
      </c>
      <c r="AA167" s="26">
        <v>20000</v>
      </c>
      <c r="AC167" s="66">
        <f t="shared" si="169"/>
        <v>15221.95</v>
      </c>
      <c r="AD167" s="66">
        <f t="shared" si="170"/>
        <v>21451</v>
      </c>
      <c r="AE167" s="66">
        <f t="shared" si="171"/>
        <v>3800</v>
      </c>
      <c r="AG167" s="66">
        <f t="shared" si="172"/>
        <v>-15221.95</v>
      </c>
      <c r="AH167" s="66">
        <f t="shared" si="173"/>
        <v>-21451</v>
      </c>
      <c r="AI167" s="66">
        <f t="shared" si="174"/>
        <v>-3800</v>
      </c>
      <c r="AK167" s="66">
        <f t="shared" si="175"/>
        <v>4778.0499999999993</v>
      </c>
      <c r="AL167" s="66">
        <f t="shared" si="176"/>
        <v>-1451</v>
      </c>
      <c r="AM167" s="66">
        <f t="shared" si="177"/>
        <v>16200</v>
      </c>
    </row>
    <row r="168" spans="1:40" s="5" customFormat="1" x14ac:dyDescent="0.2">
      <c r="A168" s="64"/>
      <c r="B168" s="64"/>
      <c r="C168" s="64"/>
      <c r="D168" s="64"/>
      <c r="E168" s="64"/>
      <c r="F168" s="64"/>
      <c r="G168" s="64" t="s">
        <v>181</v>
      </c>
      <c r="H168" s="66"/>
      <c r="I168" s="66">
        <v>52971</v>
      </c>
      <c r="J168" s="66"/>
      <c r="K168" s="66">
        <v>51746</v>
      </c>
      <c r="L168" s="66"/>
      <c r="M168" s="66">
        <v>45081</v>
      </c>
      <c r="N168" s="66"/>
      <c r="O168" s="66">
        <v>42449.7</v>
      </c>
      <c r="P168" s="66"/>
      <c r="Q168" s="66">
        <v>44484.160000000003</v>
      </c>
      <c r="R168" s="66"/>
      <c r="S168" s="26">
        <v>45124.01</v>
      </c>
      <c r="T168" s="26"/>
      <c r="U168" s="26"/>
      <c r="V168" s="26"/>
      <c r="W168" s="26">
        <v>40797.96</v>
      </c>
      <c r="X168" s="26"/>
      <c r="Y168" s="26">
        <v>50375</v>
      </c>
      <c r="AA168" s="26">
        <f>+(AA166+20000)*0.0765</f>
        <v>50633.896500000003</v>
      </c>
      <c r="AC168" s="66">
        <f t="shared" si="169"/>
        <v>45776.974000000002</v>
      </c>
      <c r="AD168" s="66">
        <f t="shared" si="170"/>
        <v>51746</v>
      </c>
      <c r="AE168" s="66">
        <f t="shared" si="171"/>
        <v>42449.7</v>
      </c>
      <c r="AG168" s="66">
        <f t="shared" si="172"/>
        <v>-4979.0140000000029</v>
      </c>
      <c r="AH168" s="66">
        <f t="shared" si="173"/>
        <v>-10948.04</v>
      </c>
      <c r="AI168" s="66">
        <f t="shared" si="174"/>
        <v>-1651.739999999998</v>
      </c>
      <c r="AK168" s="66">
        <f t="shared" si="175"/>
        <v>4598.025999999998</v>
      </c>
      <c r="AL168" s="66">
        <f t="shared" si="176"/>
        <v>-1371</v>
      </c>
      <c r="AM168" s="66">
        <f t="shared" si="177"/>
        <v>7925.3000000000029</v>
      </c>
    </row>
    <row r="169" spans="1:40" s="5" customFormat="1" x14ac:dyDescent="0.2">
      <c r="A169" s="64"/>
      <c r="B169" s="64"/>
      <c r="C169" s="64"/>
      <c r="D169" s="64"/>
      <c r="E169" s="64"/>
      <c r="F169" s="64"/>
      <c r="G169" s="64" t="s">
        <v>182</v>
      </c>
      <c r="H169" s="66"/>
      <c r="I169" s="66">
        <v>128888</v>
      </c>
      <c r="J169" s="66"/>
      <c r="K169" s="66">
        <v>146217</v>
      </c>
      <c r="L169" s="66"/>
      <c r="M169" s="66">
        <v>150959</v>
      </c>
      <c r="N169" s="66"/>
      <c r="O169" s="66">
        <v>137623.9</v>
      </c>
      <c r="P169" s="66"/>
      <c r="Q169" s="66">
        <v>151455.93</v>
      </c>
      <c r="R169" s="66"/>
      <c r="S169" s="26">
        <v>145936.26999999999</v>
      </c>
      <c r="T169" s="26"/>
      <c r="U169" s="26"/>
      <c r="V169" s="26"/>
      <c r="W169" s="26">
        <v>128250</v>
      </c>
      <c r="X169" s="26"/>
      <c r="Y169" s="26">
        <v>168843</v>
      </c>
      <c r="AA169" s="26">
        <v>157632</v>
      </c>
      <c r="AC169" s="66">
        <f t="shared" si="169"/>
        <v>146438.42000000001</v>
      </c>
      <c r="AD169" s="66">
        <f t="shared" si="170"/>
        <v>151455.93</v>
      </c>
      <c r="AE169" s="66">
        <f t="shared" si="171"/>
        <v>137623.9</v>
      </c>
      <c r="AG169" s="66">
        <f t="shared" si="172"/>
        <v>-18188.420000000013</v>
      </c>
      <c r="AH169" s="66">
        <f t="shared" si="173"/>
        <v>-23205.929999999993</v>
      </c>
      <c r="AI169" s="66">
        <f t="shared" si="174"/>
        <v>-9373.8999999999942</v>
      </c>
      <c r="AK169" s="66">
        <f t="shared" si="175"/>
        <v>22404.579999999987</v>
      </c>
      <c r="AL169" s="66">
        <f t="shared" si="176"/>
        <v>17387.070000000007</v>
      </c>
      <c r="AM169" s="66">
        <f t="shared" si="177"/>
        <v>31219.100000000006</v>
      </c>
    </row>
    <row r="170" spans="1:40" s="5" customFormat="1" x14ac:dyDescent="0.2">
      <c r="A170" s="64"/>
      <c r="B170" s="64"/>
      <c r="C170" s="64"/>
      <c r="D170" s="64"/>
      <c r="E170" s="64"/>
      <c r="F170" s="64"/>
      <c r="G170" s="64" t="s">
        <v>183</v>
      </c>
      <c r="H170" s="66"/>
      <c r="I170" s="66">
        <v>58884</v>
      </c>
      <c r="J170" s="66"/>
      <c r="K170" s="66">
        <v>58305</v>
      </c>
      <c r="L170" s="66"/>
      <c r="M170" s="66">
        <v>57194</v>
      </c>
      <c r="N170" s="66"/>
      <c r="O170" s="66">
        <v>51669.31</v>
      </c>
      <c r="P170" s="66"/>
      <c r="Q170" s="66">
        <v>67350.73</v>
      </c>
      <c r="R170" s="66"/>
      <c r="S170" s="26">
        <v>70836.23</v>
      </c>
      <c r="T170" s="26"/>
      <c r="U170" s="26"/>
      <c r="V170" s="26"/>
      <c r="W170" s="26">
        <v>67704.14</v>
      </c>
      <c r="X170" s="26"/>
      <c r="Y170" s="26">
        <v>87317</v>
      </c>
      <c r="AA170" s="26">
        <v>84810</v>
      </c>
      <c r="AC170" s="66">
        <f t="shared" si="169"/>
        <v>61071.053999999989</v>
      </c>
      <c r="AD170" s="66">
        <f t="shared" si="170"/>
        <v>70836.23</v>
      </c>
      <c r="AE170" s="66">
        <f t="shared" si="171"/>
        <v>51669.31</v>
      </c>
      <c r="AG170" s="66">
        <f t="shared" si="172"/>
        <v>6633.0860000000102</v>
      </c>
      <c r="AH170" s="66">
        <f t="shared" si="173"/>
        <v>-3132.0899999999965</v>
      </c>
      <c r="AI170" s="66">
        <f t="shared" si="174"/>
        <v>16034.830000000002</v>
      </c>
      <c r="AK170" s="66">
        <f t="shared" si="175"/>
        <v>26245.946000000011</v>
      </c>
      <c r="AL170" s="66">
        <f t="shared" si="176"/>
        <v>16480.770000000004</v>
      </c>
      <c r="AM170" s="66">
        <f t="shared" si="177"/>
        <v>35647.69</v>
      </c>
    </row>
    <row r="171" spans="1:40" s="5" customFormat="1" ht="12" customHeight="1" x14ac:dyDescent="0.2">
      <c r="A171" s="64"/>
      <c r="B171" s="64"/>
      <c r="C171" s="64"/>
      <c r="D171" s="64"/>
      <c r="E171" s="64"/>
      <c r="F171" s="64"/>
      <c r="G171" s="64" t="s">
        <v>184</v>
      </c>
      <c r="H171" s="66"/>
      <c r="I171" s="69">
        <v>8603</v>
      </c>
      <c r="J171" s="69"/>
      <c r="K171" s="69">
        <v>4413</v>
      </c>
      <c r="L171" s="69"/>
      <c r="M171" s="69">
        <v>5499</v>
      </c>
      <c r="N171" s="69"/>
      <c r="O171" s="69">
        <v>3296.16</v>
      </c>
      <c r="P171" s="69"/>
      <c r="Q171" s="66">
        <v>9148.1299999999992</v>
      </c>
      <c r="R171" s="66"/>
      <c r="S171" s="26">
        <v>13743.12</v>
      </c>
      <c r="T171" s="29"/>
      <c r="U171" s="29"/>
      <c r="V171" s="29"/>
      <c r="W171" s="26">
        <v>3100.86</v>
      </c>
      <c r="X171" s="29"/>
      <c r="Y171" s="29">
        <v>7500</v>
      </c>
      <c r="Z171" s="43"/>
      <c r="AA171" s="29">
        <v>10000</v>
      </c>
      <c r="AB171" s="43"/>
      <c r="AC171" s="69">
        <f t="shared" si="169"/>
        <v>7219.8820000000005</v>
      </c>
      <c r="AD171" s="69">
        <f t="shared" si="170"/>
        <v>13743.12</v>
      </c>
      <c r="AE171" s="69">
        <f t="shared" si="171"/>
        <v>3296.16</v>
      </c>
      <c r="AG171" s="69">
        <f t="shared" si="172"/>
        <v>-4119.0220000000008</v>
      </c>
      <c r="AH171" s="69">
        <f t="shared" si="173"/>
        <v>-10642.26</v>
      </c>
      <c r="AI171" s="69">
        <f t="shared" si="174"/>
        <v>-195.29999999999973</v>
      </c>
      <c r="AK171" s="69">
        <f t="shared" si="175"/>
        <v>280.11799999999948</v>
      </c>
      <c r="AL171" s="69">
        <f t="shared" si="176"/>
        <v>-6243.1200000000008</v>
      </c>
      <c r="AM171" s="69">
        <f t="shared" si="177"/>
        <v>4203.84</v>
      </c>
      <c r="AN171" s="43"/>
    </row>
    <row r="172" spans="1:40" s="5" customFormat="1" ht="12" thickBot="1" x14ac:dyDescent="0.25">
      <c r="A172" s="64"/>
      <c r="B172" s="64"/>
      <c r="C172" s="64"/>
      <c r="D172" s="64"/>
      <c r="E172" s="64"/>
      <c r="F172" s="64"/>
      <c r="G172" s="64" t="s">
        <v>185</v>
      </c>
      <c r="H172" s="66"/>
      <c r="I172" s="71"/>
      <c r="J172" s="66"/>
      <c r="K172" s="71"/>
      <c r="L172" s="66"/>
      <c r="M172" s="71"/>
      <c r="N172" s="66"/>
      <c r="O172" s="71"/>
      <c r="P172" s="71"/>
      <c r="Q172" s="71">
        <v>0</v>
      </c>
      <c r="R172" s="71"/>
      <c r="S172" s="35">
        <v>37854.42</v>
      </c>
      <c r="T172" s="29"/>
      <c r="U172" s="29"/>
      <c r="V172" s="26"/>
      <c r="W172" s="35">
        <v>18962.54</v>
      </c>
      <c r="X172" s="26"/>
      <c r="Y172" s="35">
        <v>41530</v>
      </c>
      <c r="AA172" s="35">
        <f>+AA166*6.88/100</f>
        <v>44161.412800000006</v>
      </c>
      <c r="AC172" s="71">
        <f t="shared" si="169"/>
        <v>18927.21</v>
      </c>
      <c r="AD172" s="71">
        <f t="shared" si="170"/>
        <v>37854.42</v>
      </c>
      <c r="AE172" s="71">
        <f t="shared" si="171"/>
        <v>0</v>
      </c>
      <c r="AG172" s="71">
        <f t="shared" si="172"/>
        <v>35.330000000001746</v>
      </c>
      <c r="AH172" s="71">
        <f t="shared" si="173"/>
        <v>-18891.879999999997</v>
      </c>
      <c r="AI172" s="71">
        <f t="shared" si="174"/>
        <v>18962.54</v>
      </c>
      <c r="AK172" s="71">
        <f t="shared" si="175"/>
        <v>22602.79</v>
      </c>
      <c r="AL172" s="71">
        <f t="shared" si="176"/>
        <v>3675.5800000000017</v>
      </c>
      <c r="AM172" s="71">
        <f t="shared" si="177"/>
        <v>41530</v>
      </c>
    </row>
    <row r="173" spans="1:40" s="5" customFormat="1" x14ac:dyDescent="0.2">
      <c r="A173" s="64"/>
      <c r="B173" s="64"/>
      <c r="C173" s="64"/>
      <c r="D173" s="64"/>
      <c r="E173" s="64"/>
      <c r="F173" s="64" t="s">
        <v>186</v>
      </c>
      <c r="G173" s="64"/>
      <c r="H173" s="66"/>
      <c r="I173" s="66">
        <f>ROUND(SUM(I165:I172),5)</f>
        <v>866053</v>
      </c>
      <c r="J173" s="66"/>
      <c r="K173" s="66">
        <f>ROUND(SUM(K165:K172),5)</f>
        <v>863779</v>
      </c>
      <c r="L173" s="66"/>
      <c r="M173" s="66">
        <f>ROUND(SUM(M165:M172),5)</f>
        <v>807255</v>
      </c>
      <c r="N173" s="66"/>
      <c r="O173" s="66">
        <f>ROUND(SUM(O165:O172),5)</f>
        <v>753084.09</v>
      </c>
      <c r="P173" s="66"/>
      <c r="Q173" s="66">
        <f>ROUND(SUM(Q165:Q172),5)</f>
        <v>824185.47</v>
      </c>
      <c r="R173" s="66"/>
      <c r="S173" s="26">
        <f>ROUND(SUM(S165:S172),5)</f>
        <v>877597.98</v>
      </c>
      <c r="T173" s="26"/>
      <c r="U173" s="26"/>
      <c r="V173" s="26"/>
      <c r="W173" s="26">
        <f>ROUND(SUM(W165:W172),5)</f>
        <v>807306.65</v>
      </c>
      <c r="X173" s="26"/>
      <c r="Y173" s="26">
        <f>ROUND(SUM(Y165:Y172),5)</f>
        <v>1004065</v>
      </c>
      <c r="AA173" s="26">
        <f>ROUND(SUM(AA165:AA172),5)</f>
        <v>1009118.3093</v>
      </c>
      <c r="AC173" s="66">
        <f>ROUND(SUM(AC165:AC172),5)</f>
        <v>836536.63399999996</v>
      </c>
      <c r="AD173" s="66">
        <f>ROUND(SUM(AD165:AD171),5)</f>
        <v>890879.28</v>
      </c>
      <c r="AE173" s="66">
        <f>ROUND(SUM(AE165:AE172),5)</f>
        <v>753084.09</v>
      </c>
      <c r="AG173" s="66">
        <f>ROUND(SUM(AG165:AG172),5)</f>
        <v>-29229.984</v>
      </c>
      <c r="AH173" s="66">
        <f>ROUND(SUM(AH165:AH171),5)</f>
        <v>-102535.17</v>
      </c>
      <c r="AI173" s="66">
        <f>ROUND(SUM(AI165:AI172),5)</f>
        <v>54222.559999999998</v>
      </c>
      <c r="AK173" s="66">
        <f>ROUND(SUM(AK165:AK172),5)</f>
        <v>167528.36600000001</v>
      </c>
      <c r="AL173" s="66">
        <f>ROUND(SUM(AL165:AL171),5)</f>
        <v>71655.72</v>
      </c>
      <c r="AM173" s="66">
        <f>ROUND(SUM(AM165:AM172),5)</f>
        <v>250980.91</v>
      </c>
    </row>
    <row r="174" spans="1:40" s="5" customFormat="1" x14ac:dyDescent="0.2">
      <c r="A174" s="64"/>
      <c r="B174" s="64"/>
      <c r="C174" s="64"/>
      <c r="D174" s="64"/>
      <c r="E174" s="64"/>
      <c r="F174" s="73" t="s">
        <v>187</v>
      </c>
      <c r="G174" s="64"/>
      <c r="H174" s="66"/>
      <c r="I174" s="66"/>
      <c r="J174" s="66"/>
      <c r="K174" s="66"/>
      <c r="L174" s="66"/>
      <c r="M174" s="66"/>
      <c r="N174" s="66"/>
      <c r="O174" s="66"/>
      <c r="P174" s="66"/>
      <c r="Q174" s="66"/>
      <c r="R174" s="66"/>
      <c r="S174" s="26"/>
      <c r="T174" s="26"/>
      <c r="U174" s="26"/>
      <c r="V174" s="26"/>
      <c r="W174" s="26"/>
      <c r="X174" s="26"/>
      <c r="Y174" s="26"/>
      <c r="AA174" s="26"/>
      <c r="AC174" s="66"/>
      <c r="AD174" s="66">
        <f t="shared" ref="AD174:AD179" si="178">MAX(K174:S174)</f>
        <v>0</v>
      </c>
      <c r="AE174" s="66">
        <f t="shared" ref="AE174:AE179" si="179">MIN(K174:S174)</f>
        <v>0</v>
      </c>
      <c r="AG174" s="66">
        <f t="shared" ref="AG174:AG179" si="180">+W174-AC174</f>
        <v>0</v>
      </c>
      <c r="AH174" s="66">
        <f t="shared" ref="AH174:AH179" si="181">+W174-AD174</f>
        <v>0</v>
      </c>
      <c r="AI174" s="66">
        <f t="shared" ref="AI174:AI179" si="182">+W174-AE174</f>
        <v>0</v>
      </c>
      <c r="AK174" s="66">
        <f t="shared" ref="AK174:AK179" si="183">+Y174-AC174</f>
        <v>0</v>
      </c>
      <c r="AL174" s="66">
        <f t="shared" ref="AL174:AL179" si="184">+Y174-AD174</f>
        <v>0</v>
      </c>
      <c r="AM174" s="66">
        <f t="shared" ref="AM174:AM179" si="185">+Y174-AE174</f>
        <v>0</v>
      </c>
    </row>
    <row r="175" spans="1:40" s="5" customFormat="1" x14ac:dyDescent="0.2">
      <c r="A175" s="64"/>
      <c r="B175" s="64"/>
      <c r="C175" s="64"/>
      <c r="D175" s="64"/>
      <c r="E175" s="64"/>
      <c r="F175" s="64"/>
      <c r="G175" s="68" t="s">
        <v>188</v>
      </c>
      <c r="H175" s="66"/>
      <c r="I175" s="66"/>
      <c r="J175" s="66"/>
      <c r="K175" s="66"/>
      <c r="L175" s="66"/>
      <c r="M175" s="66">
        <v>175829</v>
      </c>
      <c r="N175" s="66"/>
      <c r="O175" s="66">
        <v>102866.08</v>
      </c>
      <c r="P175" s="66"/>
      <c r="Q175" s="66">
        <v>79599.28</v>
      </c>
      <c r="R175" s="66"/>
      <c r="S175" s="26">
        <v>115008.14</v>
      </c>
      <c r="T175" s="26"/>
      <c r="U175" s="26"/>
      <c r="V175" s="26"/>
      <c r="W175" s="26">
        <v>97197.71</v>
      </c>
      <c r="X175" s="26"/>
      <c r="Y175" s="26">
        <v>128005</v>
      </c>
      <c r="AA175" s="26">
        <v>127491</v>
      </c>
      <c r="AC175" s="66">
        <f t="shared" ref="AC175:AC179" si="186">AVERAGE(K175:S175)</f>
        <v>118325.625</v>
      </c>
      <c r="AD175" s="66">
        <f t="shared" si="178"/>
        <v>175829</v>
      </c>
      <c r="AE175" s="66">
        <f t="shared" si="179"/>
        <v>79599.28</v>
      </c>
      <c r="AG175" s="66">
        <f t="shared" si="180"/>
        <v>-21127.914999999994</v>
      </c>
      <c r="AH175" s="66">
        <f t="shared" si="181"/>
        <v>-78631.289999999994</v>
      </c>
      <c r="AI175" s="66">
        <f t="shared" si="182"/>
        <v>17598.430000000008</v>
      </c>
      <c r="AK175" s="66">
        <f t="shared" si="183"/>
        <v>9679.375</v>
      </c>
      <c r="AL175" s="66">
        <f t="shared" si="184"/>
        <v>-47824</v>
      </c>
      <c r="AM175" s="66">
        <f t="shared" si="185"/>
        <v>48405.72</v>
      </c>
    </row>
    <row r="176" spans="1:40" s="5" customFormat="1" x14ac:dyDescent="0.2">
      <c r="A176" s="64"/>
      <c r="B176" s="64"/>
      <c r="C176" s="64"/>
      <c r="D176" s="64"/>
      <c r="E176" s="64"/>
      <c r="F176" s="64"/>
      <c r="G176" s="64" t="s">
        <v>189</v>
      </c>
      <c r="H176" s="66"/>
      <c r="I176" s="66"/>
      <c r="J176" s="66"/>
      <c r="K176" s="66"/>
      <c r="L176" s="66"/>
      <c r="M176" s="66">
        <v>15778</v>
      </c>
      <c r="N176" s="66"/>
      <c r="O176" s="66">
        <v>8884.81</v>
      </c>
      <c r="P176" s="66"/>
      <c r="Q176" s="66">
        <v>6737.95</v>
      </c>
      <c r="R176" s="66"/>
      <c r="S176" s="26">
        <v>10839.65</v>
      </c>
      <c r="T176" s="26"/>
      <c r="U176" s="26"/>
      <c r="V176" s="26"/>
      <c r="W176" s="26">
        <v>8556.15</v>
      </c>
      <c r="X176" s="26"/>
      <c r="Y176" s="26">
        <v>9521</v>
      </c>
      <c r="AA176" s="26">
        <f>+AA175*0.0765</f>
        <v>9753.0614999999998</v>
      </c>
      <c r="AC176" s="66">
        <f t="shared" si="186"/>
        <v>10560.102499999999</v>
      </c>
      <c r="AD176" s="66">
        <f t="shared" si="178"/>
        <v>15778</v>
      </c>
      <c r="AE176" s="66">
        <f t="shared" si="179"/>
        <v>6737.95</v>
      </c>
      <c r="AG176" s="66">
        <f t="shared" si="180"/>
        <v>-2003.9524999999994</v>
      </c>
      <c r="AH176" s="66">
        <f t="shared" si="181"/>
        <v>-7221.85</v>
      </c>
      <c r="AI176" s="66">
        <f t="shared" si="182"/>
        <v>1818.1999999999998</v>
      </c>
      <c r="AK176" s="66">
        <f t="shared" si="183"/>
        <v>-1039.1024999999991</v>
      </c>
      <c r="AL176" s="66">
        <f t="shared" si="184"/>
        <v>-6257</v>
      </c>
      <c r="AM176" s="66">
        <f t="shared" si="185"/>
        <v>2783.05</v>
      </c>
    </row>
    <row r="177" spans="1:39" s="5" customFormat="1" x14ac:dyDescent="0.2">
      <c r="A177" s="64"/>
      <c r="B177" s="64"/>
      <c r="C177" s="64"/>
      <c r="D177" s="64"/>
      <c r="E177" s="64"/>
      <c r="F177" s="64"/>
      <c r="G177" s="64" t="s">
        <v>190</v>
      </c>
      <c r="H177" s="66"/>
      <c r="I177" s="66"/>
      <c r="J177" s="66"/>
      <c r="K177" s="66"/>
      <c r="L177" s="66"/>
      <c r="M177" s="66">
        <v>7145</v>
      </c>
      <c r="N177" s="66"/>
      <c r="O177" s="66">
        <v>30309.200000000001</v>
      </c>
      <c r="P177" s="66"/>
      <c r="Q177" s="66">
        <v>31894.44</v>
      </c>
      <c r="R177" s="66"/>
      <c r="S177" s="26">
        <v>29540.34</v>
      </c>
      <c r="T177" s="26"/>
      <c r="U177" s="26"/>
      <c r="V177" s="26"/>
      <c r="W177" s="26">
        <v>34475.24</v>
      </c>
      <c r="X177" s="26"/>
      <c r="Y177" s="26">
        <v>40248</v>
      </c>
      <c r="AA177" s="26">
        <v>40507</v>
      </c>
      <c r="AC177" s="66">
        <f t="shared" si="186"/>
        <v>24722.244999999999</v>
      </c>
      <c r="AD177" s="66">
        <f t="shared" si="178"/>
        <v>31894.44</v>
      </c>
      <c r="AE177" s="66">
        <f t="shared" si="179"/>
        <v>7145</v>
      </c>
      <c r="AG177" s="66">
        <f t="shared" si="180"/>
        <v>9752.994999999999</v>
      </c>
      <c r="AH177" s="66">
        <f t="shared" si="181"/>
        <v>2580.7999999999993</v>
      </c>
      <c r="AI177" s="66">
        <f t="shared" si="182"/>
        <v>27330.239999999998</v>
      </c>
      <c r="AK177" s="66">
        <f t="shared" si="183"/>
        <v>15525.755000000001</v>
      </c>
      <c r="AL177" s="66">
        <f t="shared" si="184"/>
        <v>8353.5600000000013</v>
      </c>
      <c r="AM177" s="66">
        <f t="shared" si="185"/>
        <v>33103</v>
      </c>
    </row>
    <row r="178" spans="1:39" s="43" customFormat="1" x14ac:dyDescent="0.2">
      <c r="A178" s="64"/>
      <c r="B178" s="64"/>
      <c r="C178" s="64"/>
      <c r="D178" s="64"/>
      <c r="E178" s="64"/>
      <c r="F178" s="64"/>
      <c r="G178" s="64" t="s">
        <v>191</v>
      </c>
      <c r="H178" s="69"/>
      <c r="I178" s="69"/>
      <c r="J178" s="69"/>
      <c r="K178" s="69"/>
      <c r="L178" s="69"/>
      <c r="M178" s="69"/>
      <c r="N178" s="69"/>
      <c r="O178" s="69"/>
      <c r="P178" s="69"/>
      <c r="Q178" s="66">
        <v>1193.6199999999999</v>
      </c>
      <c r="R178" s="66"/>
      <c r="S178" s="26">
        <v>1502.56</v>
      </c>
      <c r="T178" s="29"/>
      <c r="U178" s="29"/>
      <c r="V178" s="29"/>
      <c r="W178" s="26">
        <v>1520.57</v>
      </c>
      <c r="X178" s="29"/>
      <c r="Y178" s="29">
        <v>1947</v>
      </c>
      <c r="AA178" s="29">
        <v>1986</v>
      </c>
      <c r="AC178" s="69">
        <f t="shared" si="186"/>
        <v>1348.09</v>
      </c>
      <c r="AD178" s="69">
        <f t="shared" si="178"/>
        <v>1502.56</v>
      </c>
      <c r="AE178" s="69">
        <f t="shared" si="179"/>
        <v>1193.6199999999999</v>
      </c>
      <c r="AF178" s="5"/>
      <c r="AG178" s="69">
        <f t="shared" si="180"/>
        <v>172.48000000000002</v>
      </c>
      <c r="AH178" s="69">
        <f t="shared" si="181"/>
        <v>18.009999999999991</v>
      </c>
      <c r="AI178" s="69">
        <f t="shared" si="182"/>
        <v>326.95000000000005</v>
      </c>
      <c r="AJ178" s="5"/>
      <c r="AK178" s="69">
        <f t="shared" si="183"/>
        <v>598.91000000000008</v>
      </c>
      <c r="AL178" s="69">
        <f t="shared" si="184"/>
        <v>444.44000000000005</v>
      </c>
      <c r="AM178" s="69">
        <f t="shared" si="185"/>
        <v>753.38000000000011</v>
      </c>
    </row>
    <row r="179" spans="1:39" s="5" customFormat="1" ht="12" thickBot="1" x14ac:dyDescent="0.25">
      <c r="A179" s="64"/>
      <c r="B179" s="64"/>
      <c r="C179" s="64"/>
      <c r="D179" s="64"/>
      <c r="E179" s="64"/>
      <c r="F179" s="64"/>
      <c r="G179" s="64" t="s">
        <v>192</v>
      </c>
      <c r="H179" s="66"/>
      <c r="I179" s="71"/>
      <c r="J179" s="66"/>
      <c r="K179" s="71"/>
      <c r="L179" s="66"/>
      <c r="M179" s="71"/>
      <c r="N179" s="66"/>
      <c r="O179" s="71"/>
      <c r="P179" s="71"/>
      <c r="Q179" s="71">
        <v>0</v>
      </c>
      <c r="R179" s="71"/>
      <c r="S179" s="35">
        <v>362.72</v>
      </c>
      <c r="T179" s="29"/>
      <c r="U179" s="29"/>
      <c r="V179" s="26"/>
      <c r="W179" s="35">
        <v>174.47</v>
      </c>
      <c r="X179" s="26"/>
      <c r="Y179" s="35">
        <v>354</v>
      </c>
      <c r="AA179" s="35">
        <v>417</v>
      </c>
      <c r="AC179" s="71">
        <f t="shared" si="186"/>
        <v>181.36</v>
      </c>
      <c r="AD179" s="71">
        <f t="shared" si="178"/>
        <v>362.72</v>
      </c>
      <c r="AE179" s="71">
        <f t="shared" si="179"/>
        <v>0</v>
      </c>
      <c r="AG179" s="71">
        <f t="shared" si="180"/>
        <v>-6.8900000000000148</v>
      </c>
      <c r="AH179" s="71">
        <f t="shared" si="181"/>
        <v>-188.25000000000003</v>
      </c>
      <c r="AI179" s="71">
        <f t="shared" si="182"/>
        <v>174.47</v>
      </c>
      <c r="AK179" s="71">
        <f t="shared" si="183"/>
        <v>172.64</v>
      </c>
      <c r="AL179" s="71">
        <f t="shared" si="184"/>
        <v>-8.7200000000000273</v>
      </c>
      <c r="AM179" s="71">
        <f t="shared" si="185"/>
        <v>354</v>
      </c>
    </row>
    <row r="180" spans="1:39" s="5" customFormat="1" x14ac:dyDescent="0.2">
      <c r="A180" s="64"/>
      <c r="B180" s="64"/>
      <c r="C180" s="64"/>
      <c r="D180" s="64"/>
      <c r="E180" s="64"/>
      <c r="F180" s="64" t="s">
        <v>193</v>
      </c>
      <c r="G180" s="64"/>
      <c r="H180" s="66"/>
      <c r="I180" s="66">
        <f>SUM(I174:I179)</f>
        <v>0</v>
      </c>
      <c r="J180" s="66"/>
      <c r="K180" s="66">
        <f>SUM(K174:K179)</f>
        <v>0</v>
      </c>
      <c r="L180" s="66"/>
      <c r="M180" s="66">
        <f>SUM(M174:M179)</f>
        <v>198752</v>
      </c>
      <c r="N180" s="66"/>
      <c r="O180" s="66">
        <f>SUM(O174:O179)</f>
        <v>142060.09</v>
      </c>
      <c r="P180" s="66"/>
      <c r="Q180" s="66">
        <f>SUM(Q174:Q179)</f>
        <v>119425.29</v>
      </c>
      <c r="R180" s="66"/>
      <c r="S180" s="26">
        <f>SUM(S174:S179)</f>
        <v>157253.41</v>
      </c>
      <c r="T180" s="26"/>
      <c r="U180" s="26"/>
      <c r="V180" s="26"/>
      <c r="W180" s="26">
        <f>SUM(W174:W179)</f>
        <v>141924.14000000001</v>
      </c>
      <c r="X180" s="26"/>
      <c r="Y180" s="26">
        <f>SUM(Y174:Y179)</f>
        <v>180075</v>
      </c>
      <c r="AA180" s="26">
        <f>SUM(AA174:AA179)</f>
        <v>180154.06150000001</v>
      </c>
      <c r="AC180" s="66">
        <f>SUM(AC174:AC179)</f>
        <v>155137.42249999999</v>
      </c>
      <c r="AD180" s="66">
        <f>SUM(AD174:AD179)</f>
        <v>225366.72</v>
      </c>
      <c r="AE180" s="66">
        <f>SUM(AE174:AE179)</f>
        <v>94675.849999999991</v>
      </c>
      <c r="AG180" s="66">
        <f>SUM(AG174:AG179)</f>
        <v>-13213.282499999994</v>
      </c>
      <c r="AH180" s="66">
        <f>SUM(AH174:AH179)</f>
        <v>-83442.58</v>
      </c>
      <c r="AI180" s="66">
        <f>SUM(AI174:AI179)</f>
        <v>47248.290000000008</v>
      </c>
      <c r="AK180" s="66">
        <f>SUM(AK174:AK179)</f>
        <v>24937.577500000003</v>
      </c>
      <c r="AL180" s="66">
        <f>SUM(AL174:AL179)</f>
        <v>-45291.72</v>
      </c>
      <c r="AM180" s="66">
        <f>SUM(AM174:AM179)</f>
        <v>85399.150000000009</v>
      </c>
    </row>
    <row r="181" spans="1:39" s="5" customFormat="1" x14ac:dyDescent="0.2">
      <c r="A181" s="64"/>
      <c r="B181" s="64"/>
      <c r="C181" s="64"/>
      <c r="D181" s="64"/>
      <c r="E181" s="64"/>
      <c r="F181" s="68" t="s">
        <v>354</v>
      </c>
      <c r="G181" s="64"/>
      <c r="H181" s="66"/>
      <c r="I181" s="66"/>
      <c r="J181" s="66"/>
      <c r="K181" s="66"/>
      <c r="L181" s="66"/>
      <c r="M181" s="66"/>
      <c r="N181" s="66"/>
      <c r="O181" s="66"/>
      <c r="P181" s="66"/>
      <c r="Q181" s="66"/>
      <c r="R181" s="66"/>
      <c r="S181" s="26"/>
      <c r="T181" s="26"/>
      <c r="U181" s="26"/>
      <c r="V181" s="26"/>
      <c r="W181" s="26"/>
      <c r="X181" s="26"/>
      <c r="Y181" s="26"/>
      <c r="AA181" s="26"/>
      <c r="AC181" s="66"/>
      <c r="AD181" s="66"/>
      <c r="AE181" s="66"/>
      <c r="AG181" s="66"/>
      <c r="AH181" s="66"/>
      <c r="AI181" s="66"/>
      <c r="AK181" s="66"/>
      <c r="AL181" s="66"/>
      <c r="AM181" s="66"/>
    </row>
    <row r="182" spans="1:39" s="5" customFormat="1" x14ac:dyDescent="0.2">
      <c r="A182" s="64"/>
      <c r="B182" s="64"/>
      <c r="C182" s="64"/>
      <c r="D182" s="64"/>
      <c r="E182" s="64"/>
      <c r="F182" s="64"/>
      <c r="G182" s="64" t="s">
        <v>195</v>
      </c>
      <c r="H182" s="66"/>
      <c r="I182" s="66">
        <v>279488</v>
      </c>
      <c r="J182" s="66"/>
      <c r="K182" s="66">
        <v>282160</v>
      </c>
      <c r="L182" s="66"/>
      <c r="M182" s="66">
        <v>294940</v>
      </c>
      <c r="N182" s="66"/>
      <c r="O182" s="66">
        <v>194658.96</v>
      </c>
      <c r="P182" s="66"/>
      <c r="Q182" s="66">
        <v>202240.85</v>
      </c>
      <c r="R182" s="66"/>
      <c r="S182" s="26">
        <v>162143.29</v>
      </c>
      <c r="T182" s="26"/>
      <c r="U182" s="26"/>
      <c r="V182" s="26"/>
      <c r="W182" s="26">
        <v>157168.18</v>
      </c>
      <c r="X182" s="26"/>
      <c r="Y182" s="26">
        <v>212040</v>
      </c>
      <c r="AA182" s="26">
        <v>218401</v>
      </c>
      <c r="AC182" s="66">
        <f t="shared" ref="AC182:AC185" si="187">AVERAGE(K182:S182)</f>
        <v>227228.61999999997</v>
      </c>
      <c r="AD182" s="66">
        <f>MAX(K182:S182)</f>
        <v>294940</v>
      </c>
      <c r="AE182" s="66">
        <f>MIN(K182:S182)</f>
        <v>162143.29</v>
      </c>
      <c r="AG182" s="66">
        <f t="shared" ref="AG182:AG185" si="188">+W182-AC182</f>
        <v>-70060.439999999973</v>
      </c>
      <c r="AH182" s="66">
        <f t="shared" ref="AH182:AH185" si="189">+W182-AD182</f>
        <v>-137771.82</v>
      </c>
      <c r="AI182" s="66">
        <f t="shared" ref="AI182:AI185" si="190">+W182-AE182</f>
        <v>-4975.1100000000151</v>
      </c>
      <c r="AK182" s="66">
        <f t="shared" ref="AK182:AK185" si="191">+Y182-AC182</f>
        <v>-15188.619999999966</v>
      </c>
      <c r="AL182" s="66">
        <f t="shared" ref="AL182:AL185" si="192">+Y182-AD182</f>
        <v>-82900</v>
      </c>
      <c r="AM182" s="66">
        <f t="shared" ref="AM182:AM185" si="193">+Y182-AE182</f>
        <v>49896.709999999992</v>
      </c>
    </row>
    <row r="183" spans="1:39" s="5" customFormat="1" x14ac:dyDescent="0.2">
      <c r="A183" s="64"/>
      <c r="B183" s="64"/>
      <c r="C183" s="64"/>
      <c r="D183" s="64"/>
      <c r="E183" s="64"/>
      <c r="F183" s="64"/>
      <c r="G183" s="64" t="s">
        <v>196</v>
      </c>
      <c r="H183" s="66"/>
      <c r="I183" s="66">
        <v>29118</v>
      </c>
      <c r="J183" s="66"/>
      <c r="K183" s="66">
        <v>26800</v>
      </c>
      <c r="L183" s="66"/>
      <c r="M183" s="66">
        <v>28654</v>
      </c>
      <c r="N183" s="66"/>
      <c r="O183" s="66">
        <v>18160.48</v>
      </c>
      <c r="P183" s="66"/>
      <c r="Q183" s="66">
        <v>20085.45</v>
      </c>
      <c r="R183" s="66"/>
      <c r="S183" s="26">
        <v>14966</v>
      </c>
      <c r="T183" s="26"/>
      <c r="U183" s="26"/>
      <c r="V183" s="26"/>
      <c r="W183" s="26">
        <v>19299.759999999998</v>
      </c>
      <c r="X183" s="26"/>
      <c r="Y183" s="26">
        <v>16222</v>
      </c>
      <c r="AA183" s="26">
        <f>+AA182*0.0765</f>
        <v>16707.676500000001</v>
      </c>
      <c r="AC183" s="66">
        <f t="shared" si="187"/>
        <v>21733.185999999998</v>
      </c>
      <c r="AD183" s="66">
        <f>MAX(K183:S183)</f>
        <v>28654</v>
      </c>
      <c r="AE183" s="66">
        <f>MIN(K183:S183)</f>
        <v>14966</v>
      </c>
      <c r="AG183" s="66">
        <f t="shared" si="188"/>
        <v>-2433.4259999999995</v>
      </c>
      <c r="AH183" s="66">
        <f t="shared" si="189"/>
        <v>-9354.2400000000016</v>
      </c>
      <c r="AI183" s="66">
        <f t="shared" si="190"/>
        <v>4333.7599999999984</v>
      </c>
      <c r="AK183" s="66">
        <f t="shared" si="191"/>
        <v>-5511.1859999999979</v>
      </c>
      <c r="AL183" s="66">
        <f t="shared" si="192"/>
        <v>-12432</v>
      </c>
      <c r="AM183" s="66">
        <f t="shared" si="193"/>
        <v>1256</v>
      </c>
    </row>
    <row r="184" spans="1:39" s="43" customFormat="1" x14ac:dyDescent="0.2">
      <c r="A184" s="64"/>
      <c r="B184" s="64"/>
      <c r="C184" s="64"/>
      <c r="D184" s="64"/>
      <c r="E184" s="64"/>
      <c r="F184" s="64"/>
      <c r="G184" s="64" t="s">
        <v>197</v>
      </c>
      <c r="H184" s="69"/>
      <c r="I184" s="69">
        <v>3133</v>
      </c>
      <c r="J184" s="69"/>
      <c r="K184" s="69">
        <v>2138</v>
      </c>
      <c r="L184" s="69"/>
      <c r="M184" s="69">
        <v>3660</v>
      </c>
      <c r="N184" s="69"/>
      <c r="O184" s="69">
        <v>1031.3599999999999</v>
      </c>
      <c r="P184" s="69"/>
      <c r="Q184" s="66">
        <v>4635.75</v>
      </c>
      <c r="R184" s="66"/>
      <c r="S184" s="26">
        <v>2900.29</v>
      </c>
      <c r="T184" s="29"/>
      <c r="U184" s="29"/>
      <c r="V184" s="29"/>
      <c r="W184" s="26">
        <v>3512.62</v>
      </c>
      <c r="X184" s="29"/>
      <c r="Y184" s="29">
        <v>4000</v>
      </c>
      <c r="AA184" s="29">
        <v>4000</v>
      </c>
      <c r="AC184" s="69">
        <f t="shared" si="187"/>
        <v>2873.0800000000004</v>
      </c>
      <c r="AD184" s="69">
        <f>MAX(K184:S184)</f>
        <v>4635.75</v>
      </c>
      <c r="AE184" s="69">
        <f>MIN(K184:S184)</f>
        <v>1031.3599999999999</v>
      </c>
      <c r="AF184" s="5"/>
      <c r="AG184" s="69">
        <f t="shared" si="188"/>
        <v>639.53999999999951</v>
      </c>
      <c r="AH184" s="69">
        <f t="shared" si="189"/>
        <v>-1123.1300000000001</v>
      </c>
      <c r="AI184" s="69">
        <f t="shared" si="190"/>
        <v>2481.2600000000002</v>
      </c>
      <c r="AJ184" s="5"/>
      <c r="AK184" s="69">
        <f t="shared" si="191"/>
        <v>1126.9199999999996</v>
      </c>
      <c r="AL184" s="69">
        <f t="shared" si="192"/>
        <v>-635.75</v>
      </c>
      <c r="AM184" s="69">
        <f t="shared" si="193"/>
        <v>2968.6400000000003</v>
      </c>
    </row>
    <row r="185" spans="1:39" s="5" customFormat="1" ht="12" thickBot="1" x14ac:dyDescent="0.25">
      <c r="A185" s="64"/>
      <c r="B185" s="64"/>
      <c r="C185" s="64"/>
      <c r="D185" s="64"/>
      <c r="E185" s="64"/>
      <c r="F185" s="64"/>
      <c r="G185" s="64" t="s">
        <v>198</v>
      </c>
      <c r="H185" s="66"/>
      <c r="I185" s="71"/>
      <c r="J185" s="66"/>
      <c r="K185" s="71"/>
      <c r="L185" s="66"/>
      <c r="M185" s="71"/>
      <c r="N185" s="66"/>
      <c r="O185" s="71"/>
      <c r="P185" s="71"/>
      <c r="Q185" s="71">
        <v>0</v>
      </c>
      <c r="R185" s="71"/>
      <c r="S185" s="35">
        <v>10459.09</v>
      </c>
      <c r="T185" s="29"/>
      <c r="U185" s="29"/>
      <c r="V185" s="26"/>
      <c r="W185" s="35">
        <v>5754.21</v>
      </c>
      <c r="X185" s="26"/>
      <c r="Y185" s="35">
        <v>14590</v>
      </c>
      <c r="AA185" s="35">
        <f>6.88*AA182/100</f>
        <v>15025.988799999999</v>
      </c>
      <c r="AC185" s="71">
        <f t="shared" si="187"/>
        <v>5229.5450000000001</v>
      </c>
      <c r="AD185" s="71">
        <f>MAX(K185:S185)</f>
        <v>10459.09</v>
      </c>
      <c r="AE185" s="71">
        <f>MIN(K185:S185)</f>
        <v>0</v>
      </c>
      <c r="AG185" s="71">
        <f t="shared" si="188"/>
        <v>524.66499999999996</v>
      </c>
      <c r="AH185" s="71">
        <f t="shared" si="189"/>
        <v>-4704.88</v>
      </c>
      <c r="AI185" s="71">
        <f t="shared" si="190"/>
        <v>5754.21</v>
      </c>
      <c r="AK185" s="71">
        <f t="shared" si="191"/>
        <v>9360.4549999999999</v>
      </c>
      <c r="AL185" s="71">
        <f t="shared" si="192"/>
        <v>4130.91</v>
      </c>
      <c r="AM185" s="71">
        <f t="shared" si="193"/>
        <v>14590</v>
      </c>
    </row>
    <row r="186" spans="1:39" s="5" customFormat="1" x14ac:dyDescent="0.2">
      <c r="A186" s="64"/>
      <c r="B186" s="64"/>
      <c r="C186" s="64"/>
      <c r="D186" s="64"/>
      <c r="E186" s="64"/>
      <c r="F186" s="64" t="s">
        <v>199</v>
      </c>
      <c r="G186" s="64"/>
      <c r="H186" s="66"/>
      <c r="I186" s="66">
        <f>SUM(I182:I185)</f>
        <v>311739</v>
      </c>
      <c r="J186" s="66"/>
      <c r="K186" s="66">
        <f>SUM(K182:K185)</f>
        <v>311098</v>
      </c>
      <c r="L186" s="66"/>
      <c r="M186" s="66">
        <f>SUM(M182:M185)</f>
        <v>327254</v>
      </c>
      <c r="N186" s="66"/>
      <c r="O186" s="66">
        <f>SUM(O182:O185)</f>
        <v>213850.8</v>
      </c>
      <c r="P186" s="66"/>
      <c r="Q186" s="66">
        <f>SUM(Q182:Q185)</f>
        <v>226962.05000000002</v>
      </c>
      <c r="R186" s="66"/>
      <c r="S186" s="26">
        <f>SUM(S182:S185)</f>
        <v>190468.67</v>
      </c>
      <c r="T186" s="26"/>
      <c r="U186" s="26"/>
      <c r="V186" s="26"/>
      <c r="W186" s="26">
        <f>SUM(W182:W185)</f>
        <v>185734.77</v>
      </c>
      <c r="X186" s="26"/>
      <c r="Y186" s="26">
        <f>SUM(Y182:Y185)</f>
        <v>246852</v>
      </c>
      <c r="AA186" s="26">
        <f>SUM(AA182:AA185)</f>
        <v>254134.66529999999</v>
      </c>
      <c r="AC186" s="66">
        <f>SUM(AC182:AC185)</f>
        <v>257064.43099999995</v>
      </c>
      <c r="AD186" s="66">
        <f>SUM(AD182:AD185)</f>
        <v>338688.84</v>
      </c>
      <c r="AE186" s="66">
        <f>SUM(AE182:AE185)</f>
        <v>178140.65</v>
      </c>
      <c r="AG186" s="66">
        <f>SUM(AG182:AG185)</f>
        <v>-71329.660999999993</v>
      </c>
      <c r="AH186" s="66">
        <f>SUM(AH182:AH185)</f>
        <v>-152954.07</v>
      </c>
      <c r="AI186" s="66">
        <f>SUM(AI182:AI185)</f>
        <v>7594.1199999999835</v>
      </c>
      <c r="AK186" s="66">
        <f>SUM(AK182:AK185)</f>
        <v>-10212.430999999966</v>
      </c>
      <c r="AL186" s="66">
        <f>SUM(AL182:AL185)</f>
        <v>-91836.84</v>
      </c>
      <c r="AM186" s="66">
        <f>SUM(AM182:AM185)</f>
        <v>68711.349999999991</v>
      </c>
    </row>
    <row r="187" spans="1:39" s="5" customFormat="1" x14ac:dyDescent="0.2">
      <c r="A187" s="64"/>
      <c r="B187" s="64"/>
      <c r="C187" s="64"/>
      <c r="D187" s="64"/>
      <c r="E187" s="64"/>
      <c r="F187" s="64" t="s">
        <v>200</v>
      </c>
      <c r="G187" s="64"/>
      <c r="H187" s="66"/>
      <c r="I187" s="66"/>
      <c r="J187" s="66"/>
      <c r="K187" s="66"/>
      <c r="L187" s="66"/>
      <c r="M187" s="66"/>
      <c r="N187" s="66"/>
      <c r="O187" s="66"/>
      <c r="P187" s="66"/>
      <c r="Q187" s="66"/>
      <c r="R187" s="66"/>
      <c r="S187" s="26"/>
      <c r="T187" s="26"/>
      <c r="U187" s="26"/>
      <c r="V187" s="26"/>
      <c r="W187" s="26"/>
      <c r="X187" s="26"/>
      <c r="Y187" s="26"/>
      <c r="AA187" s="26"/>
      <c r="AC187" s="66"/>
      <c r="AD187" s="66"/>
      <c r="AE187" s="66"/>
      <c r="AG187" s="66"/>
      <c r="AH187" s="66"/>
      <c r="AI187" s="66"/>
      <c r="AK187" s="66"/>
      <c r="AL187" s="66"/>
      <c r="AM187" s="66"/>
    </row>
    <row r="188" spans="1:39" s="5" customFormat="1" x14ac:dyDescent="0.2">
      <c r="A188" s="64"/>
      <c r="B188" s="64"/>
      <c r="C188" s="64"/>
      <c r="D188" s="64"/>
      <c r="E188" s="64"/>
      <c r="F188" s="64"/>
      <c r="G188" s="64" t="s">
        <v>201</v>
      </c>
      <c r="H188" s="66"/>
      <c r="I188" s="66">
        <v>22841</v>
      </c>
      <c r="J188" s="66"/>
      <c r="K188" s="66">
        <v>21951</v>
      </c>
      <c r="L188" s="66"/>
      <c r="M188" s="66">
        <v>19097</v>
      </c>
      <c r="N188" s="66"/>
      <c r="O188" s="66">
        <f>14128.44+5653.64</f>
        <v>19782.080000000002</v>
      </c>
      <c r="P188" s="66"/>
      <c r="Q188" s="66">
        <v>20010.419999999998</v>
      </c>
      <c r="R188" s="66"/>
      <c r="S188" s="26">
        <v>23235.55</v>
      </c>
      <c r="T188" s="26"/>
      <c r="U188" s="26"/>
      <c r="V188" s="26"/>
      <c r="W188" s="26">
        <v>18328.27</v>
      </c>
      <c r="X188" s="26"/>
      <c r="Y188" s="26">
        <v>24000</v>
      </c>
      <c r="AA188" s="26">
        <v>24000</v>
      </c>
      <c r="AC188" s="66">
        <f t="shared" ref="AC188:AC191" si="194">AVERAGE(K188:S188)</f>
        <v>20815.21</v>
      </c>
      <c r="AD188" s="66">
        <f>MAX(K188:S188)</f>
        <v>23235.55</v>
      </c>
      <c r="AE188" s="66">
        <f>MIN(K188:S188)</f>
        <v>19097</v>
      </c>
      <c r="AG188" s="66">
        <f t="shared" ref="AG188:AG191" si="195">+W188-AC188</f>
        <v>-2486.9399999999987</v>
      </c>
      <c r="AH188" s="66">
        <f t="shared" ref="AH188:AH191" si="196">+W188-AD188</f>
        <v>-4907.2799999999988</v>
      </c>
      <c r="AI188" s="66">
        <f t="shared" ref="AI188:AI191" si="197">+W188-AE188</f>
        <v>-768.72999999999956</v>
      </c>
      <c r="AK188" s="66">
        <f t="shared" ref="AK188:AK191" si="198">+Y188-AC188</f>
        <v>3184.7900000000009</v>
      </c>
      <c r="AL188" s="66">
        <f t="shared" ref="AL188:AL191" si="199">+Y188-AD188</f>
        <v>764.45000000000073</v>
      </c>
      <c r="AM188" s="66">
        <f t="shared" ref="AM188:AM191" si="200">+Y188-AE188</f>
        <v>4903</v>
      </c>
    </row>
    <row r="189" spans="1:39" s="5" customFormat="1" x14ac:dyDescent="0.2">
      <c r="A189" s="64"/>
      <c r="B189" s="64"/>
      <c r="C189" s="64"/>
      <c r="D189" s="64"/>
      <c r="E189" s="64"/>
      <c r="F189" s="64"/>
      <c r="G189" s="64" t="s">
        <v>202</v>
      </c>
      <c r="H189" s="66"/>
      <c r="I189" s="66"/>
      <c r="J189" s="66"/>
      <c r="K189" s="66"/>
      <c r="L189" s="66"/>
      <c r="M189" s="66"/>
      <c r="N189" s="66"/>
      <c r="O189" s="66"/>
      <c r="P189" s="66"/>
      <c r="Q189" s="66">
        <v>2550</v>
      </c>
      <c r="R189" s="66"/>
      <c r="S189" s="26">
        <v>2400</v>
      </c>
      <c r="T189" s="26"/>
      <c r="U189" s="26"/>
      <c r="V189" s="26"/>
      <c r="W189" s="26">
        <v>2050</v>
      </c>
      <c r="X189" s="26"/>
      <c r="Y189" s="26">
        <v>2600</v>
      </c>
      <c r="AA189" s="26">
        <v>2600</v>
      </c>
      <c r="AC189" s="66">
        <f t="shared" si="194"/>
        <v>2475</v>
      </c>
      <c r="AD189" s="66">
        <f>MAX(K189:S189)</f>
        <v>2550</v>
      </c>
      <c r="AE189" s="66">
        <f>MIN(K189:S189)</f>
        <v>2400</v>
      </c>
      <c r="AG189" s="66">
        <f t="shared" si="195"/>
        <v>-425</v>
      </c>
      <c r="AH189" s="66">
        <f t="shared" si="196"/>
        <v>-500</v>
      </c>
      <c r="AI189" s="66">
        <f t="shared" si="197"/>
        <v>-350</v>
      </c>
      <c r="AK189" s="66">
        <f t="shared" si="198"/>
        <v>125</v>
      </c>
      <c r="AL189" s="66">
        <f t="shared" si="199"/>
        <v>50</v>
      </c>
      <c r="AM189" s="66">
        <f t="shared" si="200"/>
        <v>200</v>
      </c>
    </row>
    <row r="190" spans="1:39" s="5" customFormat="1" x14ac:dyDescent="0.2">
      <c r="A190" s="64"/>
      <c r="B190" s="64"/>
      <c r="C190" s="64"/>
      <c r="D190" s="64"/>
      <c r="E190" s="64"/>
      <c r="F190" s="64"/>
      <c r="G190" s="64" t="s">
        <v>203</v>
      </c>
      <c r="H190" s="66"/>
      <c r="I190" s="66"/>
      <c r="J190" s="66"/>
      <c r="K190" s="66"/>
      <c r="L190" s="66"/>
      <c r="M190" s="66"/>
      <c r="N190" s="66"/>
      <c r="O190" s="66"/>
      <c r="P190" s="66"/>
      <c r="Q190" s="66">
        <v>199</v>
      </c>
      <c r="R190" s="66"/>
      <c r="S190" s="26">
        <v>205.5</v>
      </c>
      <c r="T190" s="26"/>
      <c r="U190" s="26"/>
      <c r="V190" s="26"/>
      <c r="W190" s="26">
        <v>211.5</v>
      </c>
      <c r="X190" s="26"/>
      <c r="Y190" s="26">
        <v>500</v>
      </c>
      <c r="AA190" s="26">
        <v>500</v>
      </c>
      <c r="AC190" s="66">
        <f t="shared" si="194"/>
        <v>202.25</v>
      </c>
      <c r="AD190" s="66">
        <f>MAX(K190:S190)</f>
        <v>205.5</v>
      </c>
      <c r="AE190" s="66">
        <f>MIN(K190:S190)</f>
        <v>199</v>
      </c>
      <c r="AG190" s="66">
        <f t="shared" si="195"/>
        <v>9.25</v>
      </c>
      <c r="AH190" s="66">
        <f t="shared" si="196"/>
        <v>6</v>
      </c>
      <c r="AI190" s="66">
        <f t="shared" si="197"/>
        <v>12.5</v>
      </c>
      <c r="AK190" s="66">
        <f t="shared" si="198"/>
        <v>297.75</v>
      </c>
      <c r="AL190" s="66">
        <f t="shared" si="199"/>
        <v>294.5</v>
      </c>
      <c r="AM190" s="66">
        <f t="shared" si="200"/>
        <v>301</v>
      </c>
    </row>
    <row r="191" spans="1:39" s="5" customFormat="1" ht="12" thickBot="1" x14ac:dyDescent="0.25">
      <c r="A191" s="64"/>
      <c r="B191" s="64"/>
      <c r="C191" s="64"/>
      <c r="D191" s="64"/>
      <c r="E191" s="64"/>
      <c r="F191" s="64"/>
      <c r="G191" s="64" t="s">
        <v>204</v>
      </c>
      <c r="H191" s="66"/>
      <c r="I191" s="71">
        <v>4037</v>
      </c>
      <c r="J191" s="66"/>
      <c r="K191" s="71">
        <v>7066</v>
      </c>
      <c r="L191" s="66"/>
      <c r="M191" s="71">
        <v>6566</v>
      </c>
      <c r="N191" s="66"/>
      <c r="O191" s="71">
        <v>10838.78</v>
      </c>
      <c r="P191" s="71"/>
      <c r="Q191" s="71">
        <v>2972.69</v>
      </c>
      <c r="R191" s="71"/>
      <c r="S191" s="35">
        <v>5179.91</v>
      </c>
      <c r="T191" s="29"/>
      <c r="U191" s="29"/>
      <c r="V191" s="26"/>
      <c r="W191" s="35">
        <v>23365.26</v>
      </c>
      <c r="X191" s="26"/>
      <c r="Y191" s="35">
        <v>6000</v>
      </c>
      <c r="AA191" s="35">
        <v>6000</v>
      </c>
      <c r="AC191" s="71">
        <f t="shared" si="194"/>
        <v>6524.6759999999995</v>
      </c>
      <c r="AD191" s="71">
        <f>MAX(K191:S191)</f>
        <v>10838.78</v>
      </c>
      <c r="AE191" s="71">
        <f>MIN(K191:S191)</f>
        <v>2972.69</v>
      </c>
      <c r="AG191" s="71">
        <f t="shared" si="195"/>
        <v>16840.583999999999</v>
      </c>
      <c r="AH191" s="71">
        <f t="shared" si="196"/>
        <v>12526.479999999998</v>
      </c>
      <c r="AI191" s="71">
        <f t="shared" si="197"/>
        <v>20392.57</v>
      </c>
      <c r="AK191" s="71">
        <f t="shared" si="198"/>
        <v>-524.67599999999948</v>
      </c>
      <c r="AL191" s="71">
        <f t="shared" si="199"/>
        <v>-4838.7800000000007</v>
      </c>
      <c r="AM191" s="71">
        <f t="shared" si="200"/>
        <v>3027.31</v>
      </c>
    </row>
    <row r="192" spans="1:39" s="5" customFormat="1" x14ac:dyDescent="0.2">
      <c r="A192" s="64"/>
      <c r="B192" s="64"/>
      <c r="C192" s="64"/>
      <c r="D192" s="64"/>
      <c r="E192" s="64"/>
      <c r="F192" s="64" t="s">
        <v>205</v>
      </c>
      <c r="G192" s="64"/>
      <c r="H192" s="66"/>
      <c r="I192" s="66">
        <f>ROUND(SUM(I187:I191),5)</f>
        <v>26878</v>
      </c>
      <c r="J192" s="66"/>
      <c r="K192" s="66">
        <f>ROUND(SUM(K187:K191),5)</f>
        <v>29017</v>
      </c>
      <c r="L192" s="66"/>
      <c r="M192" s="66">
        <f>ROUND(SUM(M187:M191),5)</f>
        <v>25663</v>
      </c>
      <c r="N192" s="66"/>
      <c r="O192" s="66">
        <f>ROUND(SUM(O187:O191),5)</f>
        <v>30620.86</v>
      </c>
      <c r="P192" s="66"/>
      <c r="Q192" s="66">
        <f>ROUND(SUM(Q187:Q191),5)</f>
        <v>25732.11</v>
      </c>
      <c r="R192" s="66"/>
      <c r="S192" s="26">
        <f>ROUND(SUM(S187:S191),5)</f>
        <v>31020.959999999999</v>
      </c>
      <c r="T192" s="26"/>
      <c r="U192" s="26"/>
      <c r="V192" s="26"/>
      <c r="W192" s="26">
        <f>ROUND(SUM(W187:W191),5)</f>
        <v>43955.03</v>
      </c>
      <c r="X192" s="26"/>
      <c r="Y192" s="26">
        <f>ROUND(SUM(Y187:Y191),5)</f>
        <v>33100</v>
      </c>
      <c r="AA192" s="26">
        <f>ROUND(SUM(AA187:AA191),5)</f>
        <v>33100</v>
      </c>
      <c r="AC192" s="66">
        <f t="shared" ref="AC192:AE192" si="201">ROUND(SUM(AC187:AC191),5)</f>
        <v>30017.135999999999</v>
      </c>
      <c r="AD192" s="66">
        <f t="shared" si="201"/>
        <v>36829.83</v>
      </c>
      <c r="AE192" s="66">
        <f t="shared" si="201"/>
        <v>24668.69</v>
      </c>
      <c r="AG192" s="66">
        <f t="shared" ref="AG192:AI192" si="202">ROUND(SUM(AG187:AG191),5)</f>
        <v>13937.894</v>
      </c>
      <c r="AH192" s="66">
        <f t="shared" si="202"/>
        <v>7125.2</v>
      </c>
      <c r="AI192" s="66">
        <f t="shared" si="202"/>
        <v>19286.34</v>
      </c>
      <c r="AK192" s="66">
        <f t="shared" ref="AK192:AM192" si="203">ROUND(SUM(AK187:AK191),5)</f>
        <v>3082.864</v>
      </c>
      <c r="AL192" s="66">
        <f t="shared" si="203"/>
        <v>-3729.83</v>
      </c>
      <c r="AM192" s="66">
        <f t="shared" si="203"/>
        <v>8431.31</v>
      </c>
    </row>
    <row r="193" spans="1:39" s="5" customFormat="1" x14ac:dyDescent="0.2">
      <c r="A193" s="64"/>
      <c r="B193" s="64"/>
      <c r="C193" s="64"/>
      <c r="D193" s="64"/>
      <c r="E193" s="64"/>
      <c r="F193" s="64" t="s">
        <v>206</v>
      </c>
      <c r="G193" s="64"/>
      <c r="H193" s="66"/>
      <c r="I193" s="66"/>
      <c r="J193" s="66"/>
      <c r="K193" s="66"/>
      <c r="L193" s="66"/>
      <c r="M193" s="66"/>
      <c r="N193" s="66"/>
      <c r="O193" s="66"/>
      <c r="P193" s="66"/>
      <c r="Q193" s="66"/>
      <c r="R193" s="66"/>
      <c r="S193" s="26"/>
      <c r="T193" s="26"/>
      <c r="U193" s="26"/>
      <c r="V193" s="26"/>
      <c r="W193" s="26"/>
      <c r="X193" s="26"/>
      <c r="Y193" s="26"/>
      <c r="AA193" s="26"/>
      <c r="AC193" s="66"/>
      <c r="AD193" s="66"/>
      <c r="AE193" s="66"/>
      <c r="AG193" s="66"/>
      <c r="AH193" s="66"/>
      <c r="AI193" s="66"/>
      <c r="AK193" s="66"/>
      <c r="AL193" s="66"/>
      <c r="AM193" s="66"/>
    </row>
    <row r="194" spans="1:39" s="5" customFormat="1" x14ac:dyDescent="0.2">
      <c r="A194" s="64"/>
      <c r="B194" s="64"/>
      <c r="C194" s="64"/>
      <c r="D194" s="64"/>
      <c r="E194" s="64"/>
      <c r="F194" s="64"/>
      <c r="G194" s="64" t="s">
        <v>207</v>
      </c>
      <c r="H194" s="66"/>
      <c r="I194" s="66">
        <v>36523</v>
      </c>
      <c r="J194" s="66"/>
      <c r="K194" s="66">
        <v>26092</v>
      </c>
      <c r="L194" s="66"/>
      <c r="M194" s="66">
        <v>18806</v>
      </c>
      <c r="N194" s="66"/>
      <c r="O194" s="66">
        <v>25293.56</v>
      </c>
      <c r="P194" s="66"/>
      <c r="Q194" s="66">
        <v>27467.61</v>
      </c>
      <c r="R194" s="66"/>
      <c r="S194" s="26">
        <v>23476.09</v>
      </c>
      <c r="T194" s="26"/>
      <c r="U194" s="26"/>
      <c r="V194" s="26"/>
      <c r="W194" s="26">
        <v>20764.939999999999</v>
      </c>
      <c r="X194" s="26"/>
      <c r="Y194" s="26">
        <v>26000</v>
      </c>
      <c r="AA194" s="26">
        <v>25000</v>
      </c>
      <c r="AC194" s="66">
        <f t="shared" ref="AC194:AC196" si="204">AVERAGE(K194:S194)</f>
        <v>24227.052</v>
      </c>
      <c r="AD194" s="66">
        <f>MAX(K194:S194)</f>
        <v>27467.61</v>
      </c>
      <c r="AE194" s="66">
        <f>MIN(K194:S194)</f>
        <v>18806</v>
      </c>
      <c r="AG194" s="66">
        <f t="shared" ref="AG194:AG196" si="205">+W194-AC194</f>
        <v>-3462.112000000001</v>
      </c>
      <c r="AH194" s="66">
        <f t="shared" ref="AH194:AH196" si="206">+W194-AD194</f>
        <v>-6702.6700000000019</v>
      </c>
      <c r="AI194" s="66">
        <f t="shared" ref="AI194:AI196" si="207">+W194-AE194</f>
        <v>1958.9399999999987</v>
      </c>
      <c r="AK194" s="66">
        <f t="shared" ref="AK194:AK196" si="208">+Y194-AC194</f>
        <v>1772.9480000000003</v>
      </c>
      <c r="AL194" s="66">
        <f t="shared" ref="AL194:AL196" si="209">+Y194-AD194</f>
        <v>-1467.6100000000006</v>
      </c>
      <c r="AM194" s="66">
        <f t="shared" ref="AM194:AM196" si="210">+Y194-AE194</f>
        <v>7194</v>
      </c>
    </row>
    <row r="195" spans="1:39" s="5" customFormat="1" x14ac:dyDescent="0.2">
      <c r="A195" s="64"/>
      <c r="B195" s="64"/>
      <c r="C195" s="64"/>
      <c r="D195" s="64"/>
      <c r="E195" s="64"/>
      <c r="F195" s="64"/>
      <c r="G195" s="64" t="s">
        <v>208</v>
      </c>
      <c r="H195" s="66"/>
      <c r="I195" s="66"/>
      <c r="J195" s="66"/>
      <c r="K195" s="66"/>
      <c r="L195" s="66"/>
      <c r="M195" s="66"/>
      <c r="N195" s="66"/>
      <c r="O195" s="66"/>
      <c r="P195" s="66"/>
      <c r="Q195" s="66">
        <v>25</v>
      </c>
      <c r="R195" s="66"/>
      <c r="S195" s="26">
        <v>127.53</v>
      </c>
      <c r="T195" s="26"/>
      <c r="U195" s="26"/>
      <c r="V195" s="26"/>
      <c r="W195" s="26"/>
      <c r="X195" s="26"/>
      <c r="Y195" s="26"/>
      <c r="AA195" s="26"/>
      <c r="AC195" s="66">
        <f t="shared" si="204"/>
        <v>76.265000000000001</v>
      </c>
      <c r="AD195" s="66"/>
      <c r="AE195" s="66"/>
      <c r="AG195" s="66"/>
      <c r="AH195" s="66"/>
      <c r="AI195" s="66"/>
      <c r="AK195" s="66"/>
      <c r="AL195" s="66"/>
      <c r="AM195" s="66"/>
    </row>
    <row r="196" spans="1:39" s="5" customFormat="1" ht="12" thickBot="1" x14ac:dyDescent="0.25">
      <c r="A196" s="64"/>
      <c r="B196" s="64"/>
      <c r="C196" s="64"/>
      <c r="D196" s="64"/>
      <c r="E196" s="64"/>
      <c r="F196" s="64"/>
      <c r="G196" s="64" t="s">
        <v>209</v>
      </c>
      <c r="H196" s="66"/>
      <c r="I196" s="71">
        <v>9498</v>
      </c>
      <c r="J196" s="66"/>
      <c r="K196" s="71">
        <v>15591</v>
      </c>
      <c r="L196" s="66"/>
      <c r="M196" s="71">
        <v>11395</v>
      </c>
      <c r="N196" s="66"/>
      <c r="O196" s="71">
        <v>11954.8</v>
      </c>
      <c r="P196" s="71"/>
      <c r="Q196" s="71">
        <v>30282.48</v>
      </c>
      <c r="R196" s="71"/>
      <c r="S196" s="35">
        <v>20791.939999999999</v>
      </c>
      <c r="T196" s="29"/>
      <c r="U196" s="29"/>
      <c r="V196" s="26"/>
      <c r="W196" s="35">
        <v>23804.16</v>
      </c>
      <c r="X196" s="26"/>
      <c r="Y196" s="35">
        <v>15000</v>
      </c>
      <c r="AA196" s="35">
        <v>15000</v>
      </c>
      <c r="AC196" s="71">
        <f t="shared" si="204"/>
        <v>18003.044000000002</v>
      </c>
      <c r="AD196" s="71">
        <f>MAX(K196:S196)</f>
        <v>30282.48</v>
      </c>
      <c r="AE196" s="71">
        <f>MIN(K196:S196)</f>
        <v>11395</v>
      </c>
      <c r="AG196" s="71">
        <f t="shared" si="205"/>
        <v>5801.1159999999982</v>
      </c>
      <c r="AH196" s="71">
        <f t="shared" si="206"/>
        <v>-6478.32</v>
      </c>
      <c r="AI196" s="71">
        <f t="shared" si="207"/>
        <v>12409.16</v>
      </c>
      <c r="AK196" s="71">
        <f t="shared" si="208"/>
        <v>-3003.0440000000017</v>
      </c>
      <c r="AL196" s="71">
        <f t="shared" si="209"/>
        <v>-15282.48</v>
      </c>
      <c r="AM196" s="71">
        <f t="shared" si="210"/>
        <v>3605</v>
      </c>
    </row>
    <row r="197" spans="1:39" s="5" customFormat="1" x14ac:dyDescent="0.2">
      <c r="A197" s="64"/>
      <c r="B197" s="64"/>
      <c r="C197" s="64"/>
      <c r="D197" s="64"/>
      <c r="E197" s="64"/>
      <c r="F197" s="64" t="s">
        <v>210</v>
      </c>
      <c r="G197" s="64"/>
      <c r="H197" s="66"/>
      <c r="I197" s="66">
        <f>ROUND(SUM(I193:I196),5)</f>
        <v>46021</v>
      </c>
      <c r="J197" s="66"/>
      <c r="K197" s="66">
        <f>ROUND(SUM(K193:K196),5)</f>
        <v>41683</v>
      </c>
      <c r="L197" s="66"/>
      <c r="M197" s="66">
        <f>ROUND(SUM(M193:M196),5)</f>
        <v>30201</v>
      </c>
      <c r="N197" s="66"/>
      <c r="O197" s="66">
        <f>ROUND(SUM(O193:O196),5)</f>
        <v>37248.36</v>
      </c>
      <c r="P197" s="66"/>
      <c r="Q197" s="66">
        <f>ROUND(SUM(Q193:Q196),5)</f>
        <v>57775.09</v>
      </c>
      <c r="R197" s="66"/>
      <c r="S197" s="26">
        <f>ROUND(SUM(S193:S196),5)</f>
        <v>44395.56</v>
      </c>
      <c r="T197" s="26"/>
      <c r="U197" s="26"/>
      <c r="V197" s="26"/>
      <c r="W197" s="26">
        <f>ROUND(SUM(W193:W196),5)</f>
        <v>44569.1</v>
      </c>
      <c r="X197" s="26"/>
      <c r="Y197" s="26">
        <f>ROUND(SUM(Y193:Y196),5)</f>
        <v>41000</v>
      </c>
      <c r="AA197" s="26">
        <f>ROUND(SUM(AA193:AA196),5)</f>
        <v>40000</v>
      </c>
      <c r="AC197" s="66">
        <f t="shared" ref="AC197:AE197" si="211">ROUND(SUM(AC193:AC196),5)</f>
        <v>42306.360999999997</v>
      </c>
      <c r="AD197" s="66">
        <f t="shared" si="211"/>
        <v>57750.09</v>
      </c>
      <c r="AE197" s="66">
        <f t="shared" si="211"/>
        <v>30201</v>
      </c>
      <c r="AG197" s="66">
        <f t="shared" ref="AG197:AI197" si="212">ROUND(SUM(AG193:AG196),5)</f>
        <v>2339.0039999999999</v>
      </c>
      <c r="AH197" s="66">
        <f t="shared" si="212"/>
        <v>-13180.99</v>
      </c>
      <c r="AI197" s="66">
        <f t="shared" si="212"/>
        <v>14368.1</v>
      </c>
      <c r="AK197" s="66">
        <f t="shared" ref="AK197:AM197" si="213">ROUND(SUM(AK193:AK196),5)</f>
        <v>-1230.096</v>
      </c>
      <c r="AL197" s="66">
        <f t="shared" si="213"/>
        <v>-16750.09</v>
      </c>
      <c r="AM197" s="66">
        <f t="shared" si="213"/>
        <v>10799</v>
      </c>
    </row>
    <row r="198" spans="1:39" s="5" customFormat="1" x14ac:dyDescent="0.2">
      <c r="A198" s="64"/>
      <c r="B198" s="64"/>
      <c r="C198" s="64"/>
      <c r="D198" s="64"/>
      <c r="E198" s="64"/>
      <c r="F198" s="64" t="s">
        <v>211</v>
      </c>
      <c r="G198" s="64"/>
      <c r="H198" s="66"/>
      <c r="I198" s="66"/>
      <c r="J198" s="66"/>
      <c r="K198" s="66"/>
      <c r="L198" s="66"/>
      <c r="M198" s="66"/>
      <c r="N198" s="66"/>
      <c r="O198" s="66"/>
      <c r="P198" s="66"/>
      <c r="Q198" s="66"/>
      <c r="R198" s="66"/>
      <c r="S198" s="26"/>
      <c r="T198" s="26"/>
      <c r="U198" s="26"/>
      <c r="V198" s="26"/>
      <c r="W198" s="26"/>
      <c r="X198" s="26"/>
      <c r="Y198" s="26"/>
      <c r="AA198" s="26"/>
      <c r="AC198" s="66"/>
      <c r="AD198" s="66"/>
      <c r="AE198" s="66"/>
      <c r="AG198" s="66"/>
      <c r="AH198" s="66"/>
      <c r="AI198" s="66"/>
      <c r="AK198" s="66"/>
      <c r="AL198" s="66"/>
      <c r="AM198" s="66"/>
    </row>
    <row r="199" spans="1:39" s="5" customFormat="1" x14ac:dyDescent="0.2">
      <c r="A199" s="64"/>
      <c r="B199" s="64"/>
      <c r="C199" s="64"/>
      <c r="D199" s="64"/>
      <c r="E199" s="64"/>
      <c r="F199" s="64"/>
      <c r="G199" s="64" t="s">
        <v>212</v>
      </c>
      <c r="H199" s="66"/>
      <c r="I199" s="66">
        <v>1338</v>
      </c>
      <c r="J199" s="66"/>
      <c r="K199" s="66">
        <v>2219</v>
      </c>
      <c r="L199" s="66"/>
      <c r="M199" s="66">
        <v>905</v>
      </c>
      <c r="N199" s="66"/>
      <c r="O199" s="66">
        <v>1202.6300000000001</v>
      </c>
      <c r="P199" s="66"/>
      <c r="Q199" s="66">
        <v>1150.3399999999999</v>
      </c>
      <c r="R199" s="66"/>
      <c r="S199" s="26">
        <v>1613.67</v>
      </c>
      <c r="T199" s="26"/>
      <c r="U199" s="26"/>
      <c r="V199" s="26"/>
      <c r="W199" s="26">
        <v>318.75</v>
      </c>
      <c r="X199" s="26"/>
      <c r="Y199" s="26">
        <v>1500</v>
      </c>
      <c r="AA199" s="26"/>
      <c r="AC199" s="66">
        <f t="shared" ref="AC199:AC208" si="214">AVERAGE(K199:S199)</f>
        <v>1418.1280000000002</v>
      </c>
      <c r="AD199" s="66">
        <f t="shared" ref="AD199:AD208" si="215">MAX(K199:S199)</f>
        <v>2219</v>
      </c>
      <c r="AE199" s="66">
        <f t="shared" ref="AE199:AE208" si="216">MIN(K199:S199)</f>
        <v>905</v>
      </c>
      <c r="AG199" s="66">
        <f t="shared" ref="AG199:AG208" si="217">+W199-AC199</f>
        <v>-1099.3780000000002</v>
      </c>
      <c r="AH199" s="66">
        <f t="shared" ref="AH199:AH208" si="218">+W199-AD199</f>
        <v>-1900.25</v>
      </c>
      <c r="AI199" s="66">
        <f t="shared" ref="AI199:AI208" si="219">+W199-AE199</f>
        <v>-586.25</v>
      </c>
      <c r="AK199" s="66">
        <f t="shared" ref="AK199:AK208" si="220">+Y199-AC199</f>
        <v>81.871999999999844</v>
      </c>
      <c r="AL199" s="66">
        <f t="shared" ref="AL199:AL208" si="221">+Y199-AD199</f>
        <v>-719</v>
      </c>
      <c r="AM199" s="66">
        <f t="shared" ref="AM199:AM208" si="222">+Y199-AE199</f>
        <v>595</v>
      </c>
    </row>
    <row r="200" spans="1:39" s="5" customFormat="1" x14ac:dyDescent="0.2">
      <c r="A200" s="64"/>
      <c r="B200" s="64"/>
      <c r="C200" s="64"/>
      <c r="D200" s="64"/>
      <c r="E200" s="64"/>
      <c r="F200" s="64"/>
      <c r="G200" s="64" t="s">
        <v>213</v>
      </c>
      <c r="H200" s="66"/>
      <c r="I200" s="66">
        <v>5044</v>
      </c>
      <c r="J200" s="66"/>
      <c r="K200" s="66">
        <v>4132</v>
      </c>
      <c r="L200" s="66"/>
      <c r="M200" s="66">
        <v>6603</v>
      </c>
      <c r="N200" s="66"/>
      <c r="O200" s="66">
        <v>10155.879999999999</v>
      </c>
      <c r="P200" s="66"/>
      <c r="Q200" s="66">
        <v>30728.33</v>
      </c>
      <c r="R200" s="66"/>
      <c r="S200" s="26">
        <v>33531.75</v>
      </c>
      <c r="T200" s="26"/>
      <c r="U200" s="26"/>
      <c r="V200" s="26"/>
      <c r="W200" s="26">
        <v>10094.15</v>
      </c>
      <c r="X200" s="26"/>
      <c r="Y200" s="26">
        <v>17000</v>
      </c>
      <c r="AA200" s="26">
        <v>20000</v>
      </c>
      <c r="AC200" s="66">
        <f t="shared" si="214"/>
        <v>17030.191999999999</v>
      </c>
      <c r="AD200" s="66">
        <f t="shared" si="215"/>
        <v>33531.75</v>
      </c>
      <c r="AE200" s="66">
        <f t="shared" si="216"/>
        <v>4132</v>
      </c>
      <c r="AG200" s="66">
        <f t="shared" si="217"/>
        <v>-6936.0419999999995</v>
      </c>
      <c r="AH200" s="66">
        <f t="shared" si="218"/>
        <v>-23437.599999999999</v>
      </c>
      <c r="AI200" s="66">
        <f t="shared" si="219"/>
        <v>5962.15</v>
      </c>
      <c r="AK200" s="66">
        <f t="shared" si="220"/>
        <v>-30.191999999999098</v>
      </c>
      <c r="AL200" s="66">
        <f t="shared" si="221"/>
        <v>-16531.75</v>
      </c>
      <c r="AM200" s="66">
        <f t="shared" si="222"/>
        <v>12868</v>
      </c>
    </row>
    <row r="201" spans="1:39" s="5" customFormat="1" x14ac:dyDescent="0.2">
      <c r="A201" s="64"/>
      <c r="B201" s="64"/>
      <c r="C201" s="64"/>
      <c r="D201" s="64"/>
      <c r="E201" s="64"/>
      <c r="F201" s="64"/>
      <c r="G201" s="64" t="s">
        <v>214</v>
      </c>
      <c r="H201" s="66"/>
      <c r="I201" s="66"/>
      <c r="J201" s="66"/>
      <c r="K201" s="66"/>
      <c r="L201" s="66"/>
      <c r="M201" s="66"/>
      <c r="N201" s="66"/>
      <c r="O201" s="66"/>
      <c r="P201" s="66"/>
      <c r="Q201" s="66">
        <v>0</v>
      </c>
      <c r="R201" s="66"/>
      <c r="S201" s="26">
        <v>0</v>
      </c>
      <c r="T201" s="26"/>
      <c r="U201" s="26"/>
      <c r="V201" s="26"/>
      <c r="W201" s="26">
        <v>0</v>
      </c>
      <c r="X201" s="26"/>
      <c r="Y201" s="26">
        <v>0</v>
      </c>
      <c r="AA201" s="26"/>
      <c r="AC201" s="66">
        <f t="shared" si="214"/>
        <v>0</v>
      </c>
      <c r="AD201" s="66">
        <f t="shared" si="215"/>
        <v>0</v>
      </c>
      <c r="AE201" s="66">
        <f t="shared" si="216"/>
        <v>0</v>
      </c>
      <c r="AG201" s="66">
        <f t="shared" si="217"/>
        <v>0</v>
      </c>
      <c r="AH201" s="66">
        <f t="shared" si="218"/>
        <v>0</v>
      </c>
      <c r="AI201" s="66">
        <f t="shared" si="219"/>
        <v>0</v>
      </c>
      <c r="AK201" s="66">
        <f t="shared" si="220"/>
        <v>0</v>
      </c>
      <c r="AL201" s="66">
        <f t="shared" si="221"/>
        <v>0</v>
      </c>
      <c r="AM201" s="66">
        <f t="shared" si="222"/>
        <v>0</v>
      </c>
    </row>
    <row r="202" spans="1:39" s="5" customFormat="1" x14ac:dyDescent="0.2">
      <c r="A202" s="64"/>
      <c r="B202" s="64"/>
      <c r="C202" s="64"/>
      <c r="D202" s="64"/>
      <c r="E202" s="64"/>
      <c r="F202" s="64"/>
      <c r="G202" s="64" t="s">
        <v>215</v>
      </c>
      <c r="H202" s="66"/>
      <c r="I202" s="66">
        <v>110951</v>
      </c>
      <c r="J202" s="66"/>
      <c r="K202" s="66">
        <v>173915</v>
      </c>
      <c r="L202" s="66"/>
      <c r="M202" s="66">
        <v>174313</v>
      </c>
      <c r="N202" s="66"/>
      <c r="O202" s="66">
        <f>121665.08+14492.4</f>
        <v>136157.48000000001</v>
      </c>
      <c r="P202" s="66"/>
      <c r="Q202" s="66">
        <v>111876.57</v>
      </c>
      <c r="R202" s="66"/>
      <c r="S202" s="26">
        <v>67744.19</v>
      </c>
      <c r="T202" s="26"/>
      <c r="U202" s="26"/>
      <c r="V202" s="26"/>
      <c r="W202" s="26">
        <v>51893.14</v>
      </c>
      <c r="X202" s="26"/>
      <c r="Y202" s="26">
        <v>78737</v>
      </c>
      <c r="AA202" s="26">
        <v>75000</v>
      </c>
      <c r="AC202" s="66">
        <f t="shared" si="214"/>
        <v>132801.24799999999</v>
      </c>
      <c r="AD202" s="66">
        <f t="shared" si="215"/>
        <v>174313</v>
      </c>
      <c r="AE202" s="66">
        <f t="shared" si="216"/>
        <v>67744.19</v>
      </c>
      <c r="AG202" s="66">
        <f t="shared" si="217"/>
        <v>-80908.107999999993</v>
      </c>
      <c r="AH202" s="66">
        <f t="shared" si="218"/>
        <v>-122419.86</v>
      </c>
      <c r="AI202" s="66">
        <f t="shared" si="219"/>
        <v>-15851.050000000003</v>
      </c>
      <c r="AK202" s="66">
        <f t="shared" si="220"/>
        <v>-54064.247999999992</v>
      </c>
      <c r="AL202" s="66">
        <f t="shared" si="221"/>
        <v>-95576</v>
      </c>
      <c r="AM202" s="66">
        <f t="shared" si="222"/>
        <v>10992.809999999998</v>
      </c>
    </row>
    <row r="203" spans="1:39" s="5" customFormat="1" x14ac:dyDescent="0.2">
      <c r="A203" s="64"/>
      <c r="B203" s="64"/>
      <c r="C203" s="64"/>
      <c r="D203" s="64"/>
      <c r="E203" s="64"/>
      <c r="F203" s="64"/>
      <c r="G203" s="64" t="s">
        <v>216</v>
      </c>
      <c r="H203" s="66"/>
      <c r="I203" s="66"/>
      <c r="J203" s="66"/>
      <c r="K203" s="66"/>
      <c r="L203" s="66"/>
      <c r="M203" s="66"/>
      <c r="N203" s="66"/>
      <c r="O203" s="66"/>
      <c r="P203" s="66"/>
      <c r="Q203" s="66">
        <v>937.5</v>
      </c>
      <c r="R203" s="66"/>
      <c r="S203" s="26">
        <v>662.5</v>
      </c>
      <c r="T203" s="26"/>
      <c r="U203" s="26"/>
      <c r="V203" s="26"/>
      <c r="W203" s="26">
        <v>775.5</v>
      </c>
      <c r="X203" s="26"/>
      <c r="Y203" s="26">
        <v>350</v>
      </c>
      <c r="AA203" s="26">
        <v>1000</v>
      </c>
      <c r="AC203" s="66">
        <f t="shared" si="214"/>
        <v>800</v>
      </c>
      <c r="AD203" s="66">
        <f t="shared" si="215"/>
        <v>937.5</v>
      </c>
      <c r="AE203" s="66">
        <f t="shared" si="216"/>
        <v>662.5</v>
      </c>
      <c r="AG203" s="66">
        <f t="shared" si="217"/>
        <v>-24.5</v>
      </c>
      <c r="AH203" s="66">
        <f t="shared" si="218"/>
        <v>-162</v>
      </c>
      <c r="AI203" s="66">
        <f t="shared" si="219"/>
        <v>113</v>
      </c>
      <c r="AK203" s="66">
        <f t="shared" si="220"/>
        <v>-450</v>
      </c>
      <c r="AL203" s="66">
        <f t="shared" si="221"/>
        <v>-587.5</v>
      </c>
      <c r="AM203" s="66">
        <f t="shared" si="222"/>
        <v>-312.5</v>
      </c>
    </row>
    <row r="204" spans="1:39" s="5" customFormat="1" x14ac:dyDescent="0.2">
      <c r="A204" s="64"/>
      <c r="B204" s="64"/>
      <c r="C204" s="64"/>
      <c r="D204" s="64"/>
      <c r="E204" s="64"/>
      <c r="F204" s="64"/>
      <c r="G204" s="64" t="s">
        <v>217</v>
      </c>
      <c r="H204" s="66"/>
      <c r="I204" s="66"/>
      <c r="J204" s="66"/>
      <c r="K204" s="66"/>
      <c r="L204" s="66"/>
      <c r="M204" s="66"/>
      <c r="N204" s="66"/>
      <c r="O204" s="66"/>
      <c r="P204" s="66"/>
      <c r="Q204" s="66">
        <v>4145</v>
      </c>
      <c r="R204" s="66"/>
      <c r="S204" s="26">
        <v>16675.349999999999</v>
      </c>
      <c r="T204" s="26"/>
      <c r="U204" s="26"/>
      <c r="V204" s="26"/>
      <c r="W204" s="26">
        <v>12838.76</v>
      </c>
      <c r="X204" s="26"/>
      <c r="Y204" s="26">
        <v>7500</v>
      </c>
      <c r="AA204" s="26">
        <v>10000</v>
      </c>
      <c r="AC204" s="66">
        <f t="shared" si="214"/>
        <v>10410.174999999999</v>
      </c>
      <c r="AD204" s="66">
        <f t="shared" si="215"/>
        <v>16675.349999999999</v>
      </c>
      <c r="AE204" s="66">
        <f t="shared" si="216"/>
        <v>4145</v>
      </c>
      <c r="AG204" s="66">
        <f t="shared" si="217"/>
        <v>2428.5850000000009</v>
      </c>
      <c r="AH204" s="66">
        <f t="shared" si="218"/>
        <v>-3836.5899999999983</v>
      </c>
      <c r="AI204" s="66">
        <f t="shared" si="219"/>
        <v>8693.76</v>
      </c>
      <c r="AK204" s="66">
        <f t="shared" si="220"/>
        <v>-2910.1749999999993</v>
      </c>
      <c r="AL204" s="66">
        <f t="shared" si="221"/>
        <v>-9175.3499999999985</v>
      </c>
      <c r="AM204" s="66">
        <f t="shared" si="222"/>
        <v>3355</v>
      </c>
    </row>
    <row r="205" spans="1:39" s="5" customFormat="1" x14ac:dyDescent="0.2">
      <c r="A205" s="64"/>
      <c r="B205" s="64"/>
      <c r="C205" s="64"/>
      <c r="D205" s="64"/>
      <c r="E205" s="64"/>
      <c r="F205" s="64"/>
      <c r="G205" s="64" t="s">
        <v>218</v>
      </c>
      <c r="H205" s="66"/>
      <c r="I205" s="66">
        <v>10618</v>
      </c>
      <c r="J205" s="66"/>
      <c r="K205" s="66">
        <v>6196</v>
      </c>
      <c r="L205" s="66"/>
      <c r="M205" s="66">
        <v>4502</v>
      </c>
      <c r="N205" s="66"/>
      <c r="O205" s="66">
        <v>5520.25</v>
      </c>
      <c r="P205" s="66"/>
      <c r="Q205" s="66">
        <v>8209.2800000000007</v>
      </c>
      <c r="R205" s="66"/>
      <c r="S205" s="26">
        <v>7247.47</v>
      </c>
      <c r="T205" s="26"/>
      <c r="U205" s="26"/>
      <c r="V205" s="26"/>
      <c r="W205" s="26">
        <v>10951.41</v>
      </c>
      <c r="X205" s="26"/>
      <c r="Y205" s="26">
        <v>6000</v>
      </c>
      <c r="AA205" s="26">
        <v>5000</v>
      </c>
      <c r="AC205" s="66">
        <f t="shared" si="214"/>
        <v>6335</v>
      </c>
      <c r="AD205" s="66">
        <f t="shared" si="215"/>
        <v>8209.2800000000007</v>
      </c>
      <c r="AE205" s="66">
        <f t="shared" si="216"/>
        <v>4502</v>
      </c>
      <c r="AG205" s="66">
        <f t="shared" si="217"/>
        <v>4616.41</v>
      </c>
      <c r="AH205" s="66">
        <f t="shared" si="218"/>
        <v>2742.1299999999992</v>
      </c>
      <c r="AI205" s="66">
        <f t="shared" si="219"/>
        <v>6449.41</v>
      </c>
      <c r="AK205" s="66">
        <f t="shared" si="220"/>
        <v>-335</v>
      </c>
      <c r="AL205" s="66">
        <f t="shared" si="221"/>
        <v>-2209.2800000000007</v>
      </c>
      <c r="AM205" s="66">
        <f t="shared" si="222"/>
        <v>1498</v>
      </c>
    </row>
    <row r="206" spans="1:39" s="5" customFormat="1" x14ac:dyDescent="0.2">
      <c r="A206" s="64"/>
      <c r="B206" s="64"/>
      <c r="C206" s="64"/>
      <c r="D206" s="64"/>
      <c r="E206" s="64"/>
      <c r="F206" s="64"/>
      <c r="G206" s="64" t="s">
        <v>219</v>
      </c>
      <c r="H206" s="66"/>
      <c r="I206" s="66">
        <v>15497</v>
      </c>
      <c r="J206" s="66"/>
      <c r="K206" s="66">
        <v>13768</v>
      </c>
      <c r="L206" s="66"/>
      <c r="M206" s="66">
        <v>14064</v>
      </c>
      <c r="N206" s="66"/>
      <c r="O206" s="66">
        <f>7453.55+385.35</f>
        <v>7838.9000000000005</v>
      </c>
      <c r="P206" s="66"/>
      <c r="Q206" s="66">
        <v>5366.88</v>
      </c>
      <c r="R206" s="66"/>
      <c r="S206" s="26">
        <v>7864.66</v>
      </c>
      <c r="T206" s="26"/>
      <c r="U206" s="26"/>
      <c r="V206" s="26"/>
      <c r="W206" s="26">
        <v>3813.13</v>
      </c>
      <c r="X206" s="26"/>
      <c r="Y206" s="26">
        <v>8000</v>
      </c>
      <c r="AA206" s="26">
        <v>5000</v>
      </c>
      <c r="AC206" s="66">
        <f t="shared" si="214"/>
        <v>9780.4880000000012</v>
      </c>
      <c r="AD206" s="66">
        <f t="shared" si="215"/>
        <v>14064</v>
      </c>
      <c r="AE206" s="66">
        <f t="shared" si="216"/>
        <v>5366.88</v>
      </c>
      <c r="AG206" s="66">
        <f t="shared" si="217"/>
        <v>-5967.3580000000011</v>
      </c>
      <c r="AH206" s="66">
        <f t="shared" si="218"/>
        <v>-10250.869999999999</v>
      </c>
      <c r="AI206" s="66">
        <f t="shared" si="219"/>
        <v>-1553.75</v>
      </c>
      <c r="AK206" s="66">
        <f t="shared" si="220"/>
        <v>-1780.4880000000012</v>
      </c>
      <c r="AL206" s="66">
        <f t="shared" si="221"/>
        <v>-6064</v>
      </c>
      <c r="AM206" s="66">
        <f t="shared" si="222"/>
        <v>2633.12</v>
      </c>
    </row>
    <row r="207" spans="1:39" s="5" customFormat="1" x14ac:dyDescent="0.2">
      <c r="A207" s="64"/>
      <c r="B207" s="64"/>
      <c r="C207" s="64"/>
      <c r="D207" s="64"/>
      <c r="E207" s="64"/>
      <c r="F207" s="64"/>
      <c r="G207" s="64" t="s">
        <v>220</v>
      </c>
      <c r="H207" s="66"/>
      <c r="I207" s="66">
        <v>7955</v>
      </c>
      <c r="J207" s="66"/>
      <c r="K207" s="66">
        <v>39459</v>
      </c>
      <c r="L207" s="66"/>
      <c r="M207" s="66">
        <v>5926</v>
      </c>
      <c r="N207" s="66"/>
      <c r="O207" s="66">
        <v>10838.78</v>
      </c>
      <c r="P207" s="66"/>
      <c r="Q207" s="66">
        <v>12138.48</v>
      </c>
      <c r="R207" s="66"/>
      <c r="S207" s="26">
        <v>8042.25</v>
      </c>
      <c r="T207" s="26"/>
      <c r="U207" s="26"/>
      <c r="V207" s="26"/>
      <c r="W207" s="26">
        <v>9514.43</v>
      </c>
      <c r="X207" s="26"/>
      <c r="Y207" s="26">
        <v>8000</v>
      </c>
      <c r="AA207" s="26">
        <v>10000</v>
      </c>
      <c r="AC207" s="66">
        <f t="shared" si="214"/>
        <v>15280.901999999998</v>
      </c>
      <c r="AD207" s="66">
        <f t="shared" si="215"/>
        <v>39459</v>
      </c>
      <c r="AE207" s="66">
        <f t="shared" si="216"/>
        <v>5926</v>
      </c>
      <c r="AG207" s="66">
        <f t="shared" si="217"/>
        <v>-5766.4719999999979</v>
      </c>
      <c r="AH207" s="66">
        <f t="shared" si="218"/>
        <v>-29944.57</v>
      </c>
      <c r="AI207" s="66">
        <f t="shared" si="219"/>
        <v>3588.4300000000003</v>
      </c>
      <c r="AK207" s="66">
        <f t="shared" si="220"/>
        <v>-7280.9019999999982</v>
      </c>
      <c r="AL207" s="66">
        <f t="shared" si="221"/>
        <v>-31459</v>
      </c>
      <c r="AM207" s="66">
        <f t="shared" si="222"/>
        <v>2074</v>
      </c>
    </row>
    <row r="208" spans="1:39" s="5" customFormat="1" ht="12" thickBot="1" x14ac:dyDescent="0.25">
      <c r="A208" s="64"/>
      <c r="B208" s="64"/>
      <c r="C208" s="64"/>
      <c r="D208" s="64"/>
      <c r="E208" s="64"/>
      <c r="F208" s="64"/>
      <c r="G208" s="64" t="s">
        <v>221</v>
      </c>
      <c r="H208" s="66"/>
      <c r="I208" s="69">
        <v>531</v>
      </c>
      <c r="J208" s="66"/>
      <c r="K208" s="69">
        <v>998</v>
      </c>
      <c r="L208" s="66"/>
      <c r="M208" s="69">
        <v>799</v>
      </c>
      <c r="N208" s="66"/>
      <c r="O208" s="69">
        <v>62.32</v>
      </c>
      <c r="P208" s="69"/>
      <c r="Q208" s="66">
        <v>1414.58</v>
      </c>
      <c r="R208" s="66"/>
      <c r="S208" s="26">
        <v>1666.49</v>
      </c>
      <c r="T208" s="29"/>
      <c r="U208" s="29"/>
      <c r="V208" s="26"/>
      <c r="W208" s="26">
        <v>69</v>
      </c>
      <c r="X208" s="26"/>
      <c r="Y208" s="29">
        <v>1000</v>
      </c>
      <c r="AA208" s="29">
        <v>500</v>
      </c>
      <c r="AC208" s="69">
        <f t="shared" si="214"/>
        <v>988.07799999999986</v>
      </c>
      <c r="AD208" s="69">
        <f t="shared" si="215"/>
        <v>1666.49</v>
      </c>
      <c r="AE208" s="69">
        <f t="shared" si="216"/>
        <v>62.32</v>
      </c>
      <c r="AG208" s="69">
        <f t="shared" si="217"/>
        <v>-919.07799999999986</v>
      </c>
      <c r="AH208" s="69">
        <f t="shared" si="218"/>
        <v>-1597.49</v>
      </c>
      <c r="AI208" s="69">
        <f t="shared" si="219"/>
        <v>6.68</v>
      </c>
      <c r="AK208" s="69">
        <f t="shared" si="220"/>
        <v>11.922000000000139</v>
      </c>
      <c r="AL208" s="69">
        <f t="shared" si="221"/>
        <v>-666.49</v>
      </c>
      <c r="AM208" s="69">
        <f t="shared" si="222"/>
        <v>937.68</v>
      </c>
    </row>
    <row r="209" spans="1:39" s="5" customFormat="1" ht="12" thickBot="1" x14ac:dyDescent="0.25">
      <c r="A209" s="64"/>
      <c r="B209" s="64"/>
      <c r="C209" s="64"/>
      <c r="D209" s="64"/>
      <c r="E209" s="64"/>
      <c r="F209" s="64" t="s">
        <v>222</v>
      </c>
      <c r="G209" s="64"/>
      <c r="H209" s="66"/>
      <c r="I209" s="70">
        <f>ROUND(SUM(I198:I208),5)</f>
        <v>151934</v>
      </c>
      <c r="J209" s="66"/>
      <c r="K209" s="70">
        <f>ROUND(SUM(K198:K208),5)</f>
        <v>240687</v>
      </c>
      <c r="L209" s="66"/>
      <c r="M209" s="70">
        <f>ROUND(SUM(M198:M208),5)</f>
        <v>207112</v>
      </c>
      <c r="N209" s="66"/>
      <c r="O209" s="70">
        <f>ROUND(SUM(O198:O208),5)</f>
        <v>171776.24</v>
      </c>
      <c r="P209" s="70"/>
      <c r="Q209" s="70">
        <f>ROUND(SUM(Q198:Q208),5)</f>
        <v>175966.96</v>
      </c>
      <c r="R209" s="70"/>
      <c r="S209" s="32">
        <f>ROUND(SUM(S198:S208),5)</f>
        <v>145048.32999999999</v>
      </c>
      <c r="T209" s="29"/>
      <c r="U209" s="29"/>
      <c r="V209" s="26"/>
      <c r="W209" s="32">
        <f>ROUND(SUM(W198:W208),5)</f>
        <v>100268.27</v>
      </c>
      <c r="X209" s="26"/>
      <c r="Y209" s="32">
        <f>ROUND(SUM(Y198:Y208),5)</f>
        <v>128087</v>
      </c>
      <c r="AA209" s="32">
        <f>ROUND(SUM(AA198:AA208),5)</f>
        <v>126500</v>
      </c>
      <c r="AC209" s="70">
        <f t="shared" ref="AC209:AE209" si="223">ROUND(SUM(AC198:AC208),5)</f>
        <v>194844.21100000001</v>
      </c>
      <c r="AD209" s="70">
        <f t="shared" si="223"/>
        <v>291075.37</v>
      </c>
      <c r="AE209" s="70">
        <f t="shared" si="223"/>
        <v>93445.89</v>
      </c>
      <c r="AG209" s="70">
        <f t="shared" ref="AG209:AI209" si="224">ROUND(SUM(AG198:AG208),5)</f>
        <v>-94575.941000000006</v>
      </c>
      <c r="AH209" s="70">
        <f t="shared" si="224"/>
        <v>-190807.1</v>
      </c>
      <c r="AI209" s="70">
        <f t="shared" si="224"/>
        <v>6822.38</v>
      </c>
      <c r="AK209" s="70">
        <f t="shared" ref="AK209:AM209" si="225">ROUND(SUM(AK198:AK208),5)</f>
        <v>-66757.210999999996</v>
      </c>
      <c r="AL209" s="70">
        <f t="shared" si="225"/>
        <v>-162988.37</v>
      </c>
      <c r="AM209" s="70">
        <f t="shared" si="225"/>
        <v>34641.11</v>
      </c>
    </row>
    <row r="210" spans="1:39" s="5" customFormat="1" x14ac:dyDescent="0.2">
      <c r="A210" s="64"/>
      <c r="B210" s="64"/>
      <c r="C210" s="64"/>
      <c r="D210" s="64"/>
      <c r="E210" s="73" t="s">
        <v>223</v>
      </c>
      <c r="F210" s="64"/>
      <c r="G210" s="64"/>
      <c r="H210" s="66"/>
      <c r="I210" s="66">
        <f>ROUND(I164+I173+I180+I186+I192+I197+I209,5)</f>
        <v>1402625</v>
      </c>
      <c r="J210" s="66"/>
      <c r="K210" s="66">
        <f>ROUND(K164+K173+K180+K186+K192+K197+K209,5)</f>
        <v>1486264</v>
      </c>
      <c r="L210" s="66"/>
      <c r="M210" s="66">
        <f>ROUND(M164+M173+M180+M186+M192+M197+M209,5)</f>
        <v>1596237</v>
      </c>
      <c r="N210" s="66"/>
      <c r="O210" s="66">
        <f>ROUND(O164+O173+O180+O186+O192+O197+O209,5)</f>
        <v>1348640.44</v>
      </c>
      <c r="P210" s="66"/>
      <c r="Q210" s="66">
        <f>ROUND(Q164+Q173+Q180+Q186+Q192+Q197+Q209,5)</f>
        <v>1430046.97</v>
      </c>
      <c r="R210" s="66"/>
      <c r="S210" s="26">
        <f>ROUND(S164+S173+S180+S186+S192+S197+S209,5)</f>
        <v>1445784.91</v>
      </c>
      <c r="T210" s="26"/>
      <c r="U210" s="26"/>
      <c r="V210" s="26"/>
      <c r="W210" s="26">
        <f>ROUND(W164+W173+W180+W186+W192+W197+W209,5)</f>
        <v>1323757.96</v>
      </c>
      <c r="X210" s="26"/>
      <c r="Y210" s="26">
        <f>ROUND(Y164+Y173+Y180+Y186+Y192+Y197+Y209,5)</f>
        <v>1633179</v>
      </c>
      <c r="AA210" s="26">
        <f>ROUND(AA164+AA173+AA180+AA186+AA192+AA197+AA209,5)</f>
        <v>1643007.0360999999</v>
      </c>
      <c r="AC210" s="66">
        <f>ROUND(AC164+AC173+AC180+AC186+AC192+AC197+AC209,5)</f>
        <v>1515906.1954999999</v>
      </c>
      <c r="AD210" s="66">
        <f>ROUND(AD164+AD173+AD180+AD186+AD192+AD197+AD209,5)</f>
        <v>1840590.13</v>
      </c>
      <c r="AE210" s="66">
        <f>ROUND(AE164+AE173+AE180+AE186+AE192+AE197+AE209,5)</f>
        <v>1174216.17</v>
      </c>
      <c r="AG210" s="66">
        <f>ROUND(AG164+AG173+AG180+AG186+AG192+AG197+AG209,5)</f>
        <v>-192071.9705</v>
      </c>
      <c r="AH210" s="66">
        <f>ROUND(AH164+AH173+AH180+AH186+AH192+AH197+AH209,5)</f>
        <v>-535794.71</v>
      </c>
      <c r="AI210" s="66">
        <f>ROUND(AI164+AI173+AI180+AI186+AI192+AI197+AI209,5)</f>
        <v>149541.79</v>
      </c>
      <c r="AJ210" s="66"/>
      <c r="AK210" s="66">
        <f>ROUND(AK164+AK173+AK180+AK186+AK192+AK197+AK209,5)</f>
        <v>117349.0695</v>
      </c>
      <c r="AL210" s="66">
        <f>ROUND(AL164+AL173+AL180+AL186+AL192+AL197+AL209,5)</f>
        <v>-248941.13</v>
      </c>
      <c r="AM210" s="66">
        <f>ROUND(AM164+AM173+AM180+AM186+AM192+AM197+AM209,5)</f>
        <v>458962.83</v>
      </c>
    </row>
    <row r="211" spans="1:39" s="5" customFormat="1" x14ac:dyDescent="0.2">
      <c r="A211" s="64"/>
      <c r="B211" s="64"/>
      <c r="C211" s="64"/>
      <c r="D211" s="64"/>
      <c r="E211" s="64"/>
      <c r="F211" s="64"/>
      <c r="G211" s="64"/>
      <c r="H211" s="66"/>
      <c r="I211" s="66"/>
      <c r="J211" s="66"/>
      <c r="K211" s="66"/>
      <c r="L211" s="66"/>
      <c r="M211" s="66"/>
      <c r="N211" s="66"/>
      <c r="O211" s="66"/>
      <c r="P211" s="66"/>
      <c r="Q211" s="66"/>
      <c r="R211" s="66"/>
      <c r="S211" s="26"/>
      <c r="T211" s="26"/>
      <c r="U211" s="26"/>
      <c r="V211" s="26"/>
      <c r="W211" s="26"/>
      <c r="X211" s="26"/>
      <c r="Y211" s="26"/>
      <c r="AA211" s="26"/>
      <c r="AC211" s="66"/>
      <c r="AD211" s="66"/>
      <c r="AE211" s="66"/>
      <c r="AG211" s="66"/>
      <c r="AH211" s="66"/>
      <c r="AI211" s="66"/>
      <c r="AK211" s="66"/>
      <c r="AL211" s="66"/>
      <c r="AM211" s="66"/>
    </row>
    <row r="212" spans="1:39" s="5" customFormat="1" x14ac:dyDescent="0.2">
      <c r="A212" s="64"/>
      <c r="B212" s="64"/>
      <c r="C212" s="64"/>
      <c r="D212" s="64"/>
      <c r="E212" s="73" t="s">
        <v>224</v>
      </c>
      <c r="F212" s="64"/>
      <c r="G212" s="64"/>
      <c r="H212" s="66"/>
      <c r="I212" s="66"/>
      <c r="J212" s="66"/>
      <c r="K212" s="66"/>
      <c r="L212" s="66"/>
      <c r="M212" s="66"/>
      <c r="N212" s="66"/>
      <c r="O212" s="66"/>
      <c r="P212" s="66"/>
      <c r="Q212" s="66"/>
      <c r="R212" s="66"/>
      <c r="S212" s="26"/>
      <c r="T212" s="26"/>
      <c r="U212" s="26"/>
      <c r="V212" s="26"/>
      <c r="W212" s="26"/>
      <c r="X212" s="26"/>
      <c r="Y212" s="26"/>
      <c r="AA212" s="26"/>
      <c r="AC212" s="66"/>
      <c r="AD212" s="66"/>
      <c r="AE212" s="66"/>
      <c r="AG212" s="66"/>
      <c r="AH212" s="66"/>
      <c r="AI212" s="66"/>
      <c r="AK212" s="66"/>
      <c r="AL212" s="66"/>
      <c r="AM212" s="66"/>
    </row>
    <row r="213" spans="1:39" s="5" customFormat="1" x14ac:dyDescent="0.2">
      <c r="A213" s="64"/>
      <c r="B213" s="64"/>
      <c r="C213" s="64"/>
      <c r="D213" s="64"/>
      <c r="E213" s="64"/>
      <c r="F213" s="64" t="s">
        <v>225</v>
      </c>
      <c r="G213" s="64"/>
      <c r="H213" s="66"/>
      <c r="I213" s="66"/>
      <c r="J213" s="66"/>
      <c r="K213" s="66"/>
      <c r="L213" s="66"/>
      <c r="M213" s="66"/>
      <c r="N213" s="66"/>
      <c r="O213" s="66"/>
      <c r="P213" s="66"/>
      <c r="Q213" s="66"/>
      <c r="R213" s="66"/>
      <c r="S213" s="26"/>
      <c r="T213" s="26"/>
      <c r="U213" s="26"/>
      <c r="V213" s="26"/>
      <c r="W213" s="26"/>
      <c r="X213" s="26"/>
      <c r="Y213" s="26"/>
      <c r="AA213" s="26"/>
      <c r="AC213" s="66"/>
      <c r="AD213" s="66"/>
      <c r="AE213" s="66"/>
      <c r="AG213" s="66"/>
      <c r="AH213" s="66"/>
      <c r="AI213" s="66"/>
      <c r="AK213" s="66"/>
      <c r="AL213" s="66"/>
      <c r="AM213" s="66"/>
    </row>
    <row r="214" spans="1:39" s="5" customFormat="1" x14ac:dyDescent="0.2">
      <c r="A214" s="64"/>
      <c r="B214" s="64"/>
      <c r="C214" s="64"/>
      <c r="D214" s="64"/>
      <c r="E214" s="64"/>
      <c r="F214" s="64"/>
      <c r="G214" s="64" t="s">
        <v>226</v>
      </c>
      <c r="H214" s="66"/>
      <c r="I214" s="66">
        <v>49453</v>
      </c>
      <c r="J214" s="66"/>
      <c r="K214" s="66">
        <v>59876</v>
      </c>
      <c r="L214" s="66"/>
      <c r="M214" s="66">
        <v>87659</v>
      </c>
      <c r="N214" s="66"/>
      <c r="O214" s="66">
        <v>98332.06</v>
      </c>
      <c r="P214" s="66"/>
      <c r="Q214" s="66">
        <v>60661.23</v>
      </c>
      <c r="R214" s="66"/>
      <c r="S214" s="26">
        <v>53344.03</v>
      </c>
      <c r="T214" s="26"/>
      <c r="U214" s="26"/>
      <c r="V214" s="26"/>
      <c r="W214" s="26">
        <v>37277.57</v>
      </c>
      <c r="X214" s="26"/>
      <c r="Y214" s="26">
        <v>61607</v>
      </c>
      <c r="AA214" s="26">
        <f>48894+10000</f>
        <v>58894</v>
      </c>
      <c r="AC214" s="66">
        <f t="shared" ref="AC214:AC219" si="226">AVERAGE(K214:S214)</f>
        <v>71974.463999999993</v>
      </c>
      <c r="AD214" s="66">
        <f>MAX(K214:S214)</f>
        <v>98332.06</v>
      </c>
      <c r="AE214" s="66">
        <f>MIN(K214:S214)</f>
        <v>53344.03</v>
      </c>
      <c r="AG214" s="66">
        <f t="shared" ref="AG214:AG219" si="227">+W214-AC214</f>
        <v>-34696.893999999993</v>
      </c>
      <c r="AH214" s="66">
        <f t="shared" ref="AH214:AH219" si="228">+W214-AD214</f>
        <v>-61054.49</v>
      </c>
      <c r="AI214" s="66">
        <f t="shared" ref="AI214:AI219" si="229">+W214-AE214</f>
        <v>-16066.46</v>
      </c>
      <c r="AK214" s="66">
        <f t="shared" ref="AK214:AK219" si="230">+Y214-AC214</f>
        <v>-10367.463999999993</v>
      </c>
      <c r="AL214" s="66">
        <f t="shared" ref="AL214:AL219" si="231">+Y214-AD214</f>
        <v>-36725.06</v>
      </c>
      <c r="AM214" s="66">
        <f t="shared" ref="AM214:AM219" si="232">+Y214-AE214</f>
        <v>8262.9700000000012</v>
      </c>
    </row>
    <row r="215" spans="1:39" s="5" customFormat="1" x14ac:dyDescent="0.2">
      <c r="A215" s="64"/>
      <c r="B215" s="64"/>
      <c r="C215" s="64"/>
      <c r="D215" s="64"/>
      <c r="E215" s="64"/>
      <c r="F215" s="64"/>
      <c r="G215" s="64" t="s">
        <v>227</v>
      </c>
      <c r="H215" s="66"/>
      <c r="I215" s="66">
        <v>4553</v>
      </c>
      <c r="J215" s="66"/>
      <c r="K215" s="66">
        <v>5422</v>
      </c>
      <c r="L215" s="66"/>
      <c r="M215" s="66">
        <v>7726</v>
      </c>
      <c r="N215" s="66"/>
      <c r="O215" s="66">
        <v>7787.04</v>
      </c>
      <c r="P215" s="66"/>
      <c r="Q215" s="66">
        <v>5292.88</v>
      </c>
      <c r="R215" s="66"/>
      <c r="S215" s="26">
        <v>4496.41</v>
      </c>
      <c r="T215" s="26"/>
      <c r="U215" s="26"/>
      <c r="V215" s="26"/>
      <c r="W215" s="26">
        <v>3169.82</v>
      </c>
      <c r="X215" s="26"/>
      <c r="Y215" s="26">
        <v>4713</v>
      </c>
      <c r="AA215" s="26">
        <f>+AA214*0.0765</f>
        <v>4505.3909999999996</v>
      </c>
      <c r="AC215" s="66">
        <f t="shared" si="226"/>
        <v>6144.866</v>
      </c>
      <c r="AD215" s="66">
        <f>MAX(K215:S215)</f>
        <v>7787.04</v>
      </c>
      <c r="AE215" s="66">
        <f>MIN(K215:S215)</f>
        <v>4496.41</v>
      </c>
      <c r="AG215" s="66">
        <f t="shared" si="227"/>
        <v>-2975.0459999999998</v>
      </c>
      <c r="AH215" s="66">
        <f t="shared" si="228"/>
        <v>-4617.2199999999993</v>
      </c>
      <c r="AI215" s="66">
        <f t="shared" si="229"/>
        <v>-1326.5899999999997</v>
      </c>
      <c r="AK215" s="66">
        <f t="shared" si="230"/>
        <v>-1431.866</v>
      </c>
      <c r="AL215" s="66">
        <f t="shared" si="231"/>
        <v>-3074.04</v>
      </c>
      <c r="AM215" s="66">
        <f t="shared" si="232"/>
        <v>216.59000000000015</v>
      </c>
    </row>
    <row r="216" spans="1:39" s="5" customFormat="1" x14ac:dyDescent="0.2">
      <c r="A216" s="64"/>
      <c r="B216" s="64"/>
      <c r="C216" s="64"/>
      <c r="D216" s="64"/>
      <c r="E216" s="64"/>
      <c r="F216" s="64"/>
      <c r="G216" s="64" t="s">
        <v>228</v>
      </c>
      <c r="H216" s="66"/>
      <c r="I216" s="66">
        <v>8997</v>
      </c>
      <c r="J216" s="66"/>
      <c r="K216" s="66">
        <v>10024</v>
      </c>
      <c r="L216" s="66"/>
      <c r="M216" s="66">
        <v>8811</v>
      </c>
      <c r="N216" s="66"/>
      <c r="O216" s="66">
        <v>11305.63</v>
      </c>
      <c r="P216" s="66"/>
      <c r="Q216" s="66">
        <v>10055.66</v>
      </c>
      <c r="R216" s="66"/>
      <c r="S216" s="26">
        <v>10841.63</v>
      </c>
      <c r="T216" s="26"/>
      <c r="U216" s="26"/>
      <c r="V216" s="26"/>
      <c r="W216" s="26">
        <v>9500.27</v>
      </c>
      <c r="X216" s="26"/>
      <c r="Y216" s="26">
        <v>11380</v>
      </c>
      <c r="AA216" s="26">
        <v>11485</v>
      </c>
      <c r="AC216" s="66">
        <f t="shared" si="226"/>
        <v>10207.583999999999</v>
      </c>
      <c r="AD216" s="66">
        <f>MAX(K216:S216)</f>
        <v>11305.63</v>
      </c>
      <c r="AE216" s="66">
        <f>MIN(K216:S216)</f>
        <v>8811</v>
      </c>
      <c r="AG216" s="66">
        <f t="shared" si="227"/>
        <v>-707.31399999999849</v>
      </c>
      <c r="AH216" s="66">
        <f t="shared" si="228"/>
        <v>-1805.3599999999988</v>
      </c>
      <c r="AI216" s="66">
        <f t="shared" si="229"/>
        <v>689.27000000000044</v>
      </c>
      <c r="AK216" s="66">
        <f t="shared" si="230"/>
        <v>1172.4160000000011</v>
      </c>
      <c r="AL216" s="66">
        <f t="shared" si="231"/>
        <v>74.3700000000008</v>
      </c>
      <c r="AM216" s="66">
        <f t="shared" si="232"/>
        <v>2569</v>
      </c>
    </row>
    <row r="217" spans="1:39" s="43" customFormat="1" x14ac:dyDescent="0.2">
      <c r="A217" s="64"/>
      <c r="B217" s="64"/>
      <c r="C217" s="64"/>
      <c r="D217" s="64"/>
      <c r="E217" s="64"/>
      <c r="F217" s="64"/>
      <c r="G217" s="64" t="s">
        <v>229</v>
      </c>
      <c r="H217" s="69"/>
      <c r="I217" s="69"/>
      <c r="J217" s="69"/>
      <c r="K217" s="69"/>
      <c r="L217" s="69"/>
      <c r="M217" s="69"/>
      <c r="N217" s="69"/>
      <c r="O217" s="69"/>
      <c r="P217" s="69"/>
      <c r="Q217" s="66">
        <v>1333.49</v>
      </c>
      <c r="R217" s="66"/>
      <c r="S217" s="26">
        <v>1382.67</v>
      </c>
      <c r="T217" s="29"/>
      <c r="U217" s="29"/>
      <c r="V217" s="29"/>
      <c r="W217" s="26">
        <v>1174.23</v>
      </c>
      <c r="X217" s="29"/>
      <c r="Y217" s="29">
        <v>1421</v>
      </c>
      <c r="AA217" s="29">
        <f>+AA214*0.03</f>
        <v>1766.82</v>
      </c>
      <c r="AC217" s="69">
        <f t="shared" si="226"/>
        <v>1358.08</v>
      </c>
      <c r="AD217" s="69">
        <f>MAX(K217:S217)</f>
        <v>1382.67</v>
      </c>
      <c r="AE217" s="69">
        <f>MIN(K217:S217)</f>
        <v>1333.49</v>
      </c>
      <c r="AF217" s="5"/>
      <c r="AG217" s="69">
        <f t="shared" si="227"/>
        <v>-183.84999999999991</v>
      </c>
      <c r="AH217" s="69">
        <f t="shared" si="228"/>
        <v>-208.44000000000005</v>
      </c>
      <c r="AI217" s="69">
        <f t="shared" si="229"/>
        <v>-159.26</v>
      </c>
      <c r="AJ217" s="5"/>
      <c r="AK217" s="69">
        <f t="shared" si="230"/>
        <v>62.920000000000073</v>
      </c>
      <c r="AL217" s="69">
        <f t="shared" si="231"/>
        <v>38.329999999999927</v>
      </c>
      <c r="AM217" s="69">
        <f t="shared" si="232"/>
        <v>87.509999999999991</v>
      </c>
    </row>
    <row r="218" spans="1:39" s="43" customFormat="1" x14ac:dyDescent="0.2">
      <c r="A218" s="64"/>
      <c r="B218" s="64"/>
      <c r="C218" s="64"/>
      <c r="D218" s="64"/>
      <c r="E218" s="64"/>
      <c r="F218" s="64"/>
      <c r="G218" s="64" t="s">
        <v>230</v>
      </c>
      <c r="H218" s="69"/>
      <c r="I218" s="69"/>
      <c r="J218" s="69"/>
      <c r="K218" s="69"/>
      <c r="L218" s="69"/>
      <c r="M218" s="69"/>
      <c r="N218" s="69"/>
      <c r="O218" s="69"/>
      <c r="P218" s="69"/>
      <c r="Q218" s="66"/>
      <c r="R218" s="66"/>
      <c r="S218" s="26">
        <v>191.9</v>
      </c>
      <c r="T218" s="29"/>
      <c r="U218" s="29"/>
      <c r="V218" s="29"/>
      <c r="W218" s="26">
        <v>128.28</v>
      </c>
      <c r="X218" s="29"/>
      <c r="Y218" s="29">
        <v>200</v>
      </c>
      <c r="AA218" s="29">
        <v>150</v>
      </c>
      <c r="AC218" s="69">
        <f t="shared" si="226"/>
        <v>191.9</v>
      </c>
      <c r="AD218" s="69"/>
      <c r="AE218" s="69"/>
      <c r="AF218" s="5"/>
      <c r="AG218" s="69">
        <f t="shared" si="227"/>
        <v>-63.620000000000005</v>
      </c>
      <c r="AH218" s="69"/>
      <c r="AI218" s="69"/>
      <c r="AJ218" s="5"/>
      <c r="AK218" s="69"/>
      <c r="AL218" s="69"/>
      <c r="AM218" s="69"/>
    </row>
    <row r="219" spans="1:39" s="5" customFormat="1" ht="12" thickBot="1" x14ac:dyDescent="0.25">
      <c r="A219" s="64"/>
      <c r="B219" s="64"/>
      <c r="C219" s="64"/>
      <c r="D219" s="64"/>
      <c r="E219" s="64"/>
      <c r="F219" s="64"/>
      <c r="G219" s="64" t="s">
        <v>231</v>
      </c>
      <c r="H219" s="66"/>
      <c r="I219" s="71"/>
      <c r="J219" s="66"/>
      <c r="K219" s="71"/>
      <c r="L219" s="66"/>
      <c r="M219" s="71"/>
      <c r="N219" s="66"/>
      <c r="O219" s="71"/>
      <c r="P219" s="71"/>
      <c r="Q219" s="71">
        <v>0</v>
      </c>
      <c r="R219" s="71"/>
      <c r="S219" s="35">
        <v>3728.48</v>
      </c>
      <c r="T219" s="29"/>
      <c r="U219" s="29"/>
      <c r="V219" s="26"/>
      <c r="W219" s="35">
        <v>1827.13</v>
      </c>
      <c r="X219" s="26"/>
      <c r="Y219" s="35">
        <v>3845</v>
      </c>
      <c r="AA219" s="35">
        <f>+AA214*6.24/100</f>
        <v>3674.9856</v>
      </c>
      <c r="AC219" s="71">
        <f t="shared" si="226"/>
        <v>1864.24</v>
      </c>
      <c r="AD219" s="71">
        <f>MAX(K219:S219)</f>
        <v>3728.48</v>
      </c>
      <c r="AE219" s="71">
        <f>MIN(K219:S219)</f>
        <v>0</v>
      </c>
      <c r="AG219" s="71">
        <f t="shared" si="227"/>
        <v>-37.1099999999999</v>
      </c>
      <c r="AH219" s="71">
        <f t="shared" si="228"/>
        <v>-1901.35</v>
      </c>
      <c r="AI219" s="71">
        <f t="shared" si="229"/>
        <v>1827.13</v>
      </c>
      <c r="AK219" s="71">
        <f t="shared" si="230"/>
        <v>1980.76</v>
      </c>
      <c r="AL219" s="71">
        <f t="shared" si="231"/>
        <v>116.51999999999998</v>
      </c>
      <c r="AM219" s="71">
        <f t="shared" si="232"/>
        <v>3845</v>
      </c>
    </row>
    <row r="220" spans="1:39" s="5" customFormat="1" x14ac:dyDescent="0.2">
      <c r="A220" s="64"/>
      <c r="B220" s="64"/>
      <c r="C220" s="64"/>
      <c r="D220" s="64"/>
      <c r="E220" s="64"/>
      <c r="F220" s="64" t="s">
        <v>232</v>
      </c>
      <c r="G220" s="64"/>
      <c r="H220" s="66"/>
      <c r="I220" s="66">
        <f>ROUND(SUM(I213:I219),5)</f>
        <v>63003</v>
      </c>
      <c r="J220" s="66"/>
      <c r="K220" s="66">
        <f>ROUND(SUM(K213:K219),5)</f>
        <v>75322</v>
      </c>
      <c r="L220" s="66"/>
      <c r="M220" s="66">
        <f>ROUND(SUM(M213:M219),5)</f>
        <v>104196</v>
      </c>
      <c r="N220" s="66"/>
      <c r="O220" s="66">
        <f>ROUND(SUM(O213:O219),5)</f>
        <v>117424.73</v>
      </c>
      <c r="P220" s="66"/>
      <c r="Q220" s="66">
        <f>ROUND(SUM(Q213:Q219),5)</f>
        <v>77343.259999999995</v>
      </c>
      <c r="R220" s="66"/>
      <c r="S220" s="26">
        <f>ROUND(SUM(S213:S219),5)</f>
        <v>73985.119999999995</v>
      </c>
      <c r="T220" s="26"/>
      <c r="U220" s="26"/>
      <c r="V220" s="26"/>
      <c r="W220" s="26">
        <f>ROUND(SUM(W213:W219),5)</f>
        <v>53077.3</v>
      </c>
      <c r="X220" s="26"/>
      <c r="Y220" s="26">
        <f>ROUND(SUM(Y213:Y219),5)</f>
        <v>83166</v>
      </c>
      <c r="AA220" s="26">
        <f>ROUND(SUM(AA213:AA219),5)</f>
        <v>80476.196599999996</v>
      </c>
      <c r="AC220" s="66">
        <f>ROUND(SUM(AC213:AC219),5)</f>
        <v>91741.134000000005</v>
      </c>
      <c r="AD220" s="66">
        <f t="shared" ref="AD220" si="233">ROUND(SUM(AD213:AD217),5)</f>
        <v>118807.4</v>
      </c>
      <c r="AE220" s="66">
        <f>ROUND(SUM(AE213:AE219),5)</f>
        <v>67984.929999999993</v>
      </c>
      <c r="AG220" s="66">
        <f>ROUND(SUM(AG213:AG219),5)</f>
        <v>-38663.834000000003</v>
      </c>
      <c r="AH220" s="66">
        <f t="shared" ref="AH220" si="234">ROUND(SUM(AH213:AH217),5)</f>
        <v>-67685.509999999995</v>
      </c>
      <c r="AI220" s="66">
        <f>ROUND(SUM(AI213:AI219),5)</f>
        <v>-15035.91</v>
      </c>
      <c r="AK220" s="66">
        <f>ROUND(SUM(AK213:AK219),5)</f>
        <v>-8583.2340000000004</v>
      </c>
      <c r="AL220" s="66">
        <f t="shared" ref="AL220" si="235">ROUND(SUM(AL213:AL217),5)</f>
        <v>-39686.400000000001</v>
      </c>
      <c r="AM220" s="66">
        <f>ROUND(SUM(AM213:AM219),5)</f>
        <v>14981.07</v>
      </c>
    </row>
    <row r="221" spans="1:39" s="5" customFormat="1" x14ac:dyDescent="0.2">
      <c r="A221" s="64"/>
      <c r="B221" s="64"/>
      <c r="C221" s="64"/>
      <c r="D221" s="64"/>
      <c r="E221" s="64"/>
      <c r="F221" s="64" t="s">
        <v>233</v>
      </c>
      <c r="G221" s="64"/>
      <c r="H221" s="66"/>
      <c r="I221" s="66"/>
      <c r="J221" s="66"/>
      <c r="K221" s="66"/>
      <c r="L221" s="66"/>
      <c r="M221" s="66"/>
      <c r="N221" s="66"/>
      <c r="O221" s="66"/>
      <c r="P221" s="66"/>
      <c r="Q221" s="66"/>
      <c r="R221" s="66"/>
      <c r="S221" s="26"/>
      <c r="T221" s="26"/>
      <c r="U221" s="26"/>
      <c r="V221" s="26"/>
      <c r="W221" s="26"/>
      <c r="X221" s="26"/>
      <c r="Y221" s="26"/>
      <c r="AA221" s="26"/>
      <c r="AC221" s="66"/>
      <c r="AD221" s="66"/>
      <c r="AE221" s="66"/>
      <c r="AG221" s="66"/>
      <c r="AH221" s="66"/>
      <c r="AI221" s="66"/>
      <c r="AK221" s="66"/>
      <c r="AL221" s="66"/>
      <c r="AM221" s="66"/>
    </row>
    <row r="222" spans="1:39" s="5" customFormat="1" x14ac:dyDescent="0.2">
      <c r="A222" s="64"/>
      <c r="B222" s="64"/>
      <c r="C222" s="64"/>
      <c r="D222" s="64"/>
      <c r="E222" s="64"/>
      <c r="F222" s="64"/>
      <c r="G222" s="64" t="s">
        <v>234</v>
      </c>
      <c r="H222" s="66"/>
      <c r="I222" s="66">
        <f>1579+5191</f>
        <v>6770</v>
      </c>
      <c r="J222" s="66"/>
      <c r="K222" s="66">
        <f>1670+4393</f>
        <v>6063</v>
      </c>
      <c r="L222" s="66"/>
      <c r="M222" s="66">
        <f>2361+3801</f>
        <v>6162</v>
      </c>
      <c r="N222" s="66"/>
      <c r="O222" s="66">
        <f>1623.08+3747.78</f>
        <v>5370.8600000000006</v>
      </c>
      <c r="P222" s="66"/>
      <c r="Q222" s="66">
        <v>5663.06</v>
      </c>
      <c r="R222" s="66"/>
      <c r="S222" s="26">
        <v>5601.4</v>
      </c>
      <c r="T222" s="26"/>
      <c r="U222" s="26"/>
      <c r="V222" s="26"/>
      <c r="W222" s="26">
        <v>2986.64</v>
      </c>
      <c r="X222" s="26"/>
      <c r="Y222" s="26">
        <v>6000</v>
      </c>
      <c r="AA222" s="26">
        <v>3282.36</v>
      </c>
      <c r="AC222" s="66">
        <f t="shared" ref="AC222:AC223" si="236">AVERAGE(K222:S222)</f>
        <v>5772.0640000000003</v>
      </c>
      <c r="AD222" s="66">
        <f>MAX(K222:S222)</f>
        <v>6162</v>
      </c>
      <c r="AE222" s="66">
        <f>MIN(K222:S222)</f>
        <v>5370.8600000000006</v>
      </c>
      <c r="AG222" s="66">
        <f t="shared" ref="AG222:AG223" si="237">+W222-AC222</f>
        <v>-2785.4240000000004</v>
      </c>
      <c r="AH222" s="66">
        <f t="shared" ref="AH222:AH223" si="238">+W222-AD222</f>
        <v>-3175.36</v>
      </c>
      <c r="AI222" s="66">
        <f t="shared" ref="AI222:AI223" si="239">+W222-AE222</f>
        <v>-2384.2200000000007</v>
      </c>
      <c r="AK222" s="66">
        <f t="shared" ref="AK222:AK223" si="240">+Y222-AC222</f>
        <v>227.93599999999969</v>
      </c>
      <c r="AL222" s="66">
        <f t="shared" ref="AL222:AL223" si="241">+Y222-AD222</f>
        <v>-162</v>
      </c>
      <c r="AM222" s="66">
        <f t="shared" ref="AM222:AM223" si="242">+Y222-AE222</f>
        <v>629.13999999999942</v>
      </c>
    </row>
    <row r="223" spans="1:39" s="5" customFormat="1" ht="12" thickBot="1" x14ac:dyDescent="0.25">
      <c r="A223" s="64"/>
      <c r="B223" s="64"/>
      <c r="C223" s="64"/>
      <c r="D223" s="64"/>
      <c r="E223" s="64"/>
      <c r="F223" s="64"/>
      <c r="G223" s="64" t="s">
        <v>235</v>
      </c>
      <c r="H223" s="66"/>
      <c r="I223" s="71">
        <v>636</v>
      </c>
      <c r="J223" s="66"/>
      <c r="K223" s="71">
        <v>690</v>
      </c>
      <c r="L223" s="66"/>
      <c r="M223" s="71">
        <v>1481</v>
      </c>
      <c r="N223" s="66"/>
      <c r="O223" s="71">
        <v>1167.8</v>
      </c>
      <c r="P223" s="71"/>
      <c r="Q223" s="71">
        <v>3393.47</v>
      </c>
      <c r="R223" s="71"/>
      <c r="S223" s="35">
        <v>686.27</v>
      </c>
      <c r="T223" s="29"/>
      <c r="U223" s="29"/>
      <c r="V223" s="26"/>
      <c r="W223" s="35">
        <v>473</v>
      </c>
      <c r="X223" s="26"/>
      <c r="Y223" s="35">
        <v>1200</v>
      </c>
      <c r="AA223" s="35"/>
      <c r="AC223" s="71">
        <f t="shared" si="236"/>
        <v>1483.7080000000001</v>
      </c>
      <c r="AD223" s="71">
        <f>MAX(K223:S223)</f>
        <v>3393.47</v>
      </c>
      <c r="AE223" s="71">
        <f>MIN(K223:S223)</f>
        <v>686.27</v>
      </c>
      <c r="AG223" s="71">
        <f t="shared" si="237"/>
        <v>-1010.7080000000001</v>
      </c>
      <c r="AH223" s="71">
        <f t="shared" si="238"/>
        <v>-2920.47</v>
      </c>
      <c r="AI223" s="71">
        <f t="shared" si="239"/>
        <v>-213.26999999999998</v>
      </c>
      <c r="AK223" s="71">
        <f t="shared" si="240"/>
        <v>-283.70800000000008</v>
      </c>
      <c r="AL223" s="71">
        <f t="shared" si="241"/>
        <v>-2193.4699999999998</v>
      </c>
      <c r="AM223" s="71">
        <f t="shared" si="242"/>
        <v>513.73</v>
      </c>
    </row>
    <row r="224" spans="1:39" s="5" customFormat="1" x14ac:dyDescent="0.2">
      <c r="A224" s="64"/>
      <c r="B224" s="64"/>
      <c r="C224" s="64"/>
      <c r="D224" s="64"/>
      <c r="E224" s="64"/>
      <c r="F224" s="64" t="s">
        <v>236</v>
      </c>
      <c r="G224" s="64"/>
      <c r="H224" s="66"/>
      <c r="I224" s="66">
        <f>ROUND(SUM(I221:I223),5)</f>
        <v>7406</v>
      </c>
      <c r="J224" s="66"/>
      <c r="K224" s="66">
        <f>ROUND(SUM(K221:K223),5)</f>
        <v>6753</v>
      </c>
      <c r="L224" s="66"/>
      <c r="M224" s="66">
        <f>ROUND(SUM(M221:M223),5)</f>
        <v>7643</v>
      </c>
      <c r="N224" s="66"/>
      <c r="O224" s="66">
        <f>ROUND(SUM(O221:O223),5)</f>
        <v>6538.66</v>
      </c>
      <c r="P224" s="66"/>
      <c r="Q224" s="66">
        <f>ROUND(SUM(Q221:Q223),5)</f>
        <v>9056.5300000000007</v>
      </c>
      <c r="R224" s="66"/>
      <c r="S224" s="26">
        <f>ROUND(SUM(S221:S223),5)</f>
        <v>6287.67</v>
      </c>
      <c r="T224" s="26"/>
      <c r="U224" s="26"/>
      <c r="V224" s="26"/>
      <c r="W224" s="26">
        <f>ROUND(SUM(W221:W223),5)</f>
        <v>3459.64</v>
      </c>
      <c r="X224" s="26"/>
      <c r="Y224" s="26">
        <f>ROUND(SUM(Y221:Y223),5)</f>
        <v>7200</v>
      </c>
      <c r="AA224" s="26">
        <f>ROUND(SUM(AA221:AA223),5)</f>
        <v>3282.36</v>
      </c>
      <c r="AC224" s="66">
        <f t="shared" ref="AC224:AE224" si="243">ROUND(SUM(AC221:AC223),5)</f>
        <v>7255.7719999999999</v>
      </c>
      <c r="AD224" s="66">
        <f t="shared" si="243"/>
        <v>9555.4699999999993</v>
      </c>
      <c r="AE224" s="66">
        <f t="shared" si="243"/>
        <v>6057.13</v>
      </c>
      <c r="AG224" s="66">
        <f t="shared" ref="AG224:AI224" si="244">ROUND(SUM(AG221:AG223),5)</f>
        <v>-3796.1320000000001</v>
      </c>
      <c r="AH224" s="66">
        <f t="shared" si="244"/>
        <v>-6095.83</v>
      </c>
      <c r="AI224" s="66">
        <f t="shared" si="244"/>
        <v>-2597.4899999999998</v>
      </c>
      <c r="AK224" s="66">
        <f t="shared" ref="AK224:AM224" si="245">ROUND(SUM(AK221:AK223),5)</f>
        <v>-55.771999999999998</v>
      </c>
      <c r="AL224" s="66">
        <f t="shared" si="245"/>
        <v>-2355.4699999999998</v>
      </c>
      <c r="AM224" s="66">
        <f t="shared" si="245"/>
        <v>1142.8699999999999</v>
      </c>
    </row>
    <row r="225" spans="1:39" s="5" customFormat="1" x14ac:dyDescent="0.2">
      <c r="A225" s="64"/>
      <c r="B225" s="64"/>
      <c r="C225" s="64"/>
      <c r="D225" s="64"/>
      <c r="E225" s="64"/>
      <c r="F225" s="64" t="s">
        <v>237</v>
      </c>
      <c r="G225" s="64"/>
      <c r="H225" s="66"/>
      <c r="I225" s="66"/>
      <c r="J225" s="66"/>
      <c r="K225" s="66"/>
      <c r="L225" s="66"/>
      <c r="M225" s="66"/>
      <c r="N225" s="66"/>
      <c r="O225" s="66"/>
      <c r="P225" s="66"/>
      <c r="Q225" s="66"/>
      <c r="R225" s="66"/>
      <c r="S225" s="26"/>
      <c r="T225" s="26"/>
      <c r="U225" s="26"/>
      <c r="V225" s="26"/>
      <c r="W225" s="26"/>
      <c r="X225" s="26"/>
      <c r="Y225" s="26"/>
      <c r="AA225" s="26"/>
      <c r="AC225" s="66"/>
      <c r="AD225" s="66"/>
      <c r="AE225" s="66"/>
      <c r="AG225" s="66"/>
      <c r="AH225" s="66"/>
      <c r="AI225" s="66"/>
      <c r="AK225" s="66"/>
      <c r="AL225" s="66"/>
      <c r="AM225" s="66"/>
    </row>
    <row r="226" spans="1:39" s="5" customFormat="1" x14ac:dyDescent="0.2">
      <c r="A226" s="64"/>
      <c r="B226" s="64"/>
      <c r="C226" s="64"/>
      <c r="D226" s="64"/>
      <c r="E226" s="64"/>
      <c r="F226" s="64"/>
      <c r="G226" s="64" t="s">
        <v>238</v>
      </c>
      <c r="H226" s="66"/>
      <c r="I226" s="66">
        <v>3363</v>
      </c>
      <c r="J226" s="66"/>
      <c r="K226" s="66">
        <v>2705</v>
      </c>
      <c r="L226" s="66"/>
      <c r="M226" s="66">
        <v>7962</v>
      </c>
      <c r="N226" s="66"/>
      <c r="O226" s="66">
        <v>3991.88</v>
      </c>
      <c r="P226" s="66"/>
      <c r="Q226" s="66">
        <v>3452.34</v>
      </c>
      <c r="R226" s="66"/>
      <c r="S226" s="26">
        <v>2788.72</v>
      </c>
      <c r="T226" s="26"/>
      <c r="U226" s="26"/>
      <c r="V226" s="26"/>
      <c r="W226" s="26">
        <v>1945.72</v>
      </c>
      <c r="X226" s="26"/>
      <c r="Y226" s="26">
        <v>3600</v>
      </c>
      <c r="AA226" s="26">
        <v>3000</v>
      </c>
      <c r="AC226" s="66">
        <f t="shared" ref="AC226:AC227" si="246">AVERAGE(K226:S226)</f>
        <v>4179.9880000000003</v>
      </c>
      <c r="AD226" s="66">
        <f>MAX(K226:S226)</f>
        <v>7962</v>
      </c>
      <c r="AE226" s="66">
        <f>MIN(K226:S226)</f>
        <v>2705</v>
      </c>
      <c r="AG226" s="66">
        <f t="shared" ref="AG226:AG227" si="247">+W226-AC226</f>
        <v>-2234.268</v>
      </c>
      <c r="AH226" s="66">
        <f t="shared" ref="AH226:AH227" si="248">+W226-AD226</f>
        <v>-6016.28</v>
      </c>
      <c r="AI226" s="66">
        <f t="shared" ref="AI226:AI227" si="249">+W226-AE226</f>
        <v>-759.28</v>
      </c>
      <c r="AK226" s="66">
        <f t="shared" ref="AK226:AK227" si="250">+Y226-AC226</f>
        <v>-579.98800000000028</v>
      </c>
      <c r="AL226" s="66">
        <f t="shared" ref="AL226:AL227" si="251">+Y226-AD226</f>
        <v>-4362</v>
      </c>
      <c r="AM226" s="66">
        <f t="shared" ref="AM226:AM227" si="252">+Y226-AE226</f>
        <v>895</v>
      </c>
    </row>
    <row r="227" spans="1:39" s="5" customFormat="1" ht="12" thickBot="1" x14ac:dyDescent="0.25">
      <c r="A227" s="64"/>
      <c r="B227" s="64"/>
      <c r="C227" s="64"/>
      <c r="D227" s="64"/>
      <c r="E227" s="64"/>
      <c r="F227" s="64"/>
      <c r="G227" s="64" t="s">
        <v>239</v>
      </c>
      <c r="H227" s="66"/>
      <c r="I227" s="71">
        <v>2014</v>
      </c>
      <c r="J227" s="66"/>
      <c r="K227" s="71">
        <v>3342</v>
      </c>
      <c r="L227" s="66"/>
      <c r="M227" s="71">
        <v>1273</v>
      </c>
      <c r="N227" s="66"/>
      <c r="O227" s="71">
        <v>4034.85</v>
      </c>
      <c r="P227" s="71"/>
      <c r="Q227" s="71">
        <v>2358.4299999999998</v>
      </c>
      <c r="R227" s="71"/>
      <c r="S227" s="35">
        <v>1295.43</v>
      </c>
      <c r="T227" s="29"/>
      <c r="U227" s="29"/>
      <c r="V227" s="26"/>
      <c r="W227" s="35">
        <v>2198.91</v>
      </c>
      <c r="X227" s="26"/>
      <c r="Y227" s="35">
        <v>1800</v>
      </c>
      <c r="AA227" s="35">
        <v>1000</v>
      </c>
      <c r="AC227" s="71">
        <f t="shared" si="246"/>
        <v>2460.7420000000002</v>
      </c>
      <c r="AD227" s="71">
        <f>MAX(K227:S227)</f>
        <v>4034.85</v>
      </c>
      <c r="AE227" s="71">
        <f>MIN(K227:S227)</f>
        <v>1273</v>
      </c>
      <c r="AG227" s="71">
        <f t="shared" si="247"/>
        <v>-261.83200000000033</v>
      </c>
      <c r="AH227" s="71">
        <f t="shared" si="248"/>
        <v>-1835.94</v>
      </c>
      <c r="AI227" s="71">
        <f t="shared" si="249"/>
        <v>925.90999999999985</v>
      </c>
      <c r="AK227" s="71">
        <f t="shared" si="250"/>
        <v>-660.74200000000019</v>
      </c>
      <c r="AL227" s="71">
        <f t="shared" si="251"/>
        <v>-2234.85</v>
      </c>
      <c r="AM227" s="71">
        <f t="shared" si="252"/>
        <v>527</v>
      </c>
    </row>
    <row r="228" spans="1:39" s="5" customFormat="1" x14ac:dyDescent="0.2">
      <c r="A228" s="64"/>
      <c r="B228" s="64"/>
      <c r="C228" s="64"/>
      <c r="D228" s="64"/>
      <c r="E228" s="64"/>
      <c r="F228" s="64" t="s">
        <v>240</v>
      </c>
      <c r="G228" s="64"/>
      <c r="H228" s="66"/>
      <c r="I228" s="66">
        <f>ROUND(SUM(I225:I227),5)</f>
        <v>5377</v>
      </c>
      <c r="J228" s="66"/>
      <c r="K228" s="66">
        <f>ROUND(SUM(K225:K227),5)</f>
        <v>6047</v>
      </c>
      <c r="L228" s="66"/>
      <c r="M228" s="66">
        <f>ROUND(SUM(M225:M227),5)</f>
        <v>9235</v>
      </c>
      <c r="N228" s="66"/>
      <c r="O228" s="66">
        <f>ROUND(SUM(O225:O227),5)</f>
        <v>8026.73</v>
      </c>
      <c r="P228" s="66"/>
      <c r="Q228" s="66">
        <f>ROUND(SUM(Q225:Q227),5)</f>
        <v>5810.77</v>
      </c>
      <c r="R228" s="66"/>
      <c r="S228" s="26">
        <f>ROUND(SUM(S225:S227),5)</f>
        <v>4084.15</v>
      </c>
      <c r="T228" s="26"/>
      <c r="U228" s="26"/>
      <c r="V228" s="26"/>
      <c r="W228" s="26">
        <f>ROUND(SUM(W225:W227),5)</f>
        <v>4144.63</v>
      </c>
      <c r="X228" s="26"/>
      <c r="Y228" s="26">
        <f>ROUND(SUM(Y225:Y227),5)</f>
        <v>5400</v>
      </c>
      <c r="AA228" s="26">
        <f>ROUND(SUM(AA225:AA227),5)</f>
        <v>4000</v>
      </c>
      <c r="AC228" s="66">
        <f t="shared" ref="AC228:AE228" si="253">ROUND(SUM(AC225:AC227),5)</f>
        <v>6640.73</v>
      </c>
      <c r="AD228" s="66">
        <f t="shared" si="253"/>
        <v>11996.85</v>
      </c>
      <c r="AE228" s="66">
        <f t="shared" si="253"/>
        <v>3978</v>
      </c>
      <c r="AG228" s="66">
        <f t="shared" ref="AG228:AI228" si="254">ROUND(SUM(AG225:AG227),5)</f>
        <v>-2496.1</v>
      </c>
      <c r="AH228" s="66">
        <f t="shared" si="254"/>
        <v>-7852.22</v>
      </c>
      <c r="AI228" s="66">
        <f t="shared" si="254"/>
        <v>166.63</v>
      </c>
      <c r="AK228" s="66">
        <f t="shared" ref="AK228:AM228" si="255">ROUND(SUM(AK225:AK227),5)</f>
        <v>-1240.73</v>
      </c>
      <c r="AL228" s="66">
        <f t="shared" si="255"/>
        <v>-6596.85</v>
      </c>
      <c r="AM228" s="66">
        <f t="shared" si="255"/>
        <v>1422</v>
      </c>
    </row>
    <row r="229" spans="1:39" s="5" customFormat="1" x14ac:dyDescent="0.2">
      <c r="A229" s="64"/>
      <c r="B229" s="64"/>
      <c r="C229" s="64"/>
      <c r="D229" s="64"/>
      <c r="E229" s="64"/>
      <c r="F229" s="64" t="s">
        <v>241</v>
      </c>
      <c r="G229" s="64"/>
      <c r="H229" s="66"/>
      <c r="I229" s="66"/>
      <c r="J229" s="66"/>
      <c r="K229" s="66"/>
      <c r="L229" s="66"/>
      <c r="M229" s="66"/>
      <c r="N229" s="66"/>
      <c r="O229" s="66"/>
      <c r="P229" s="66"/>
      <c r="Q229" s="66"/>
      <c r="R229" s="66"/>
      <c r="S229" s="26"/>
      <c r="T229" s="26"/>
      <c r="U229" s="26"/>
      <c r="V229" s="26"/>
      <c r="W229" s="26"/>
      <c r="X229" s="26"/>
      <c r="Y229" s="26"/>
      <c r="AA229" s="26"/>
      <c r="AC229" s="66"/>
      <c r="AD229" s="66"/>
      <c r="AE229" s="66"/>
      <c r="AG229" s="66"/>
      <c r="AH229" s="66"/>
      <c r="AI229" s="66"/>
      <c r="AK229" s="66"/>
      <c r="AL229" s="66"/>
      <c r="AM229" s="66"/>
    </row>
    <row r="230" spans="1:39" s="5" customFormat="1" x14ac:dyDescent="0.2">
      <c r="A230" s="64"/>
      <c r="B230" s="64"/>
      <c r="C230" s="64"/>
      <c r="D230" s="64"/>
      <c r="E230" s="64"/>
      <c r="F230" s="64"/>
      <c r="G230" s="64" t="s">
        <v>242</v>
      </c>
      <c r="H230" s="66"/>
      <c r="I230" s="66">
        <v>1315</v>
      </c>
      <c r="J230" s="66"/>
      <c r="K230" s="66">
        <v>1138</v>
      </c>
      <c r="L230" s="66"/>
      <c r="M230" s="66">
        <v>1070</v>
      </c>
      <c r="N230" s="66"/>
      <c r="O230" s="66">
        <v>793.64</v>
      </c>
      <c r="P230" s="66"/>
      <c r="Q230" s="66">
        <v>826.41</v>
      </c>
      <c r="R230" s="66"/>
      <c r="S230" s="26">
        <v>0</v>
      </c>
      <c r="T230" s="26"/>
      <c r="U230" s="26"/>
      <c r="V230" s="26"/>
      <c r="W230" s="26"/>
      <c r="X230" s="26"/>
      <c r="Y230" s="26">
        <v>0</v>
      </c>
      <c r="AA230" s="26">
        <v>0</v>
      </c>
      <c r="AC230" s="66">
        <f t="shared" ref="AC230:AC233" si="256">AVERAGE(K230:S230)</f>
        <v>765.6099999999999</v>
      </c>
      <c r="AD230" s="66">
        <f>MAX(K230:S230)</f>
        <v>1138</v>
      </c>
      <c r="AE230" s="66">
        <f>MIN(K230:S230)</f>
        <v>0</v>
      </c>
      <c r="AG230" s="66">
        <f t="shared" ref="AG230:AG233" si="257">+W230-AC230</f>
        <v>-765.6099999999999</v>
      </c>
      <c r="AH230" s="66">
        <f t="shared" ref="AH230:AH233" si="258">+W230-AD230</f>
        <v>-1138</v>
      </c>
      <c r="AI230" s="66">
        <f t="shared" ref="AI230:AI233" si="259">+W230-AE230</f>
        <v>0</v>
      </c>
      <c r="AK230" s="66">
        <f t="shared" ref="AK230:AK233" si="260">+Y230-AC230</f>
        <v>-765.6099999999999</v>
      </c>
      <c r="AL230" s="66">
        <f t="shared" ref="AL230:AL233" si="261">+Y230-AD230</f>
        <v>-1138</v>
      </c>
      <c r="AM230" s="66">
        <f t="shared" ref="AM230:AM233" si="262">+Y230-AE230</f>
        <v>0</v>
      </c>
    </row>
    <row r="231" spans="1:39" s="5" customFormat="1" x14ac:dyDescent="0.2">
      <c r="A231" s="64"/>
      <c r="B231" s="64"/>
      <c r="C231" s="64"/>
      <c r="D231" s="64"/>
      <c r="E231" s="64"/>
      <c r="F231" s="64"/>
      <c r="G231" s="64" t="s">
        <v>243</v>
      </c>
      <c r="H231" s="66"/>
      <c r="I231" s="66">
        <v>2131</v>
      </c>
      <c r="J231" s="66"/>
      <c r="K231" s="66">
        <v>6804</v>
      </c>
      <c r="L231" s="66"/>
      <c r="M231" s="66">
        <v>15013</v>
      </c>
      <c r="N231" s="66"/>
      <c r="O231" s="66">
        <f>17588.3+1319.17</f>
        <v>18907.47</v>
      </c>
      <c r="P231" s="66"/>
      <c r="Q231" s="66">
        <v>7455.28</v>
      </c>
      <c r="R231" s="66"/>
      <c r="S231" s="26">
        <v>2318.02</v>
      </c>
      <c r="T231" s="26"/>
      <c r="U231" s="26"/>
      <c r="V231" s="26"/>
      <c r="W231" s="26">
        <v>1401.89</v>
      </c>
      <c r="X231" s="26"/>
      <c r="Y231" s="26">
        <v>11000</v>
      </c>
      <c r="AA231" s="26">
        <v>5000</v>
      </c>
      <c r="AC231" s="66">
        <f t="shared" si="256"/>
        <v>10099.554</v>
      </c>
      <c r="AD231" s="66">
        <f>MAX(K231:S231)</f>
        <v>18907.47</v>
      </c>
      <c r="AE231" s="66">
        <f>MIN(K231:S231)</f>
        <v>2318.02</v>
      </c>
      <c r="AG231" s="66">
        <f t="shared" si="257"/>
        <v>-8697.6640000000007</v>
      </c>
      <c r="AH231" s="66">
        <f t="shared" si="258"/>
        <v>-17505.580000000002</v>
      </c>
      <c r="AI231" s="66">
        <f t="shared" si="259"/>
        <v>-916.12999999999988</v>
      </c>
      <c r="AK231" s="66">
        <f t="shared" si="260"/>
        <v>900.44599999999991</v>
      </c>
      <c r="AL231" s="66">
        <f t="shared" si="261"/>
        <v>-7907.4700000000012</v>
      </c>
      <c r="AM231" s="66">
        <f t="shared" si="262"/>
        <v>8681.98</v>
      </c>
    </row>
    <row r="232" spans="1:39" s="5" customFormat="1" x14ac:dyDescent="0.2">
      <c r="A232" s="64"/>
      <c r="B232" s="64"/>
      <c r="C232" s="64"/>
      <c r="D232" s="64"/>
      <c r="E232" s="64"/>
      <c r="F232" s="64"/>
      <c r="G232" s="64" t="s">
        <v>244</v>
      </c>
      <c r="H232" s="66"/>
      <c r="I232" s="66"/>
      <c r="J232" s="66"/>
      <c r="K232" s="66"/>
      <c r="L232" s="66"/>
      <c r="M232" s="66"/>
      <c r="N232" s="66"/>
      <c r="O232" s="66"/>
      <c r="P232" s="66"/>
      <c r="Q232" s="66"/>
      <c r="R232" s="66"/>
      <c r="S232" s="26">
        <v>158</v>
      </c>
      <c r="T232" s="26"/>
      <c r="U232" s="26"/>
      <c r="V232" s="26"/>
      <c r="W232" s="26">
        <v>168.5</v>
      </c>
      <c r="X232" s="26"/>
      <c r="Y232" s="26"/>
      <c r="AA232" s="26">
        <v>150</v>
      </c>
      <c r="AC232" s="66">
        <f t="shared" si="256"/>
        <v>158</v>
      </c>
      <c r="AD232" s="66"/>
      <c r="AE232" s="66"/>
      <c r="AG232" s="66"/>
      <c r="AH232" s="66"/>
      <c r="AI232" s="66"/>
      <c r="AK232" s="66"/>
      <c r="AL232" s="66"/>
      <c r="AM232" s="66"/>
    </row>
    <row r="233" spans="1:39" s="5" customFormat="1" ht="12" thickBot="1" x14ac:dyDescent="0.25">
      <c r="A233" s="64"/>
      <c r="B233" s="64"/>
      <c r="C233" s="64"/>
      <c r="D233" s="64"/>
      <c r="E233" s="64"/>
      <c r="F233" s="64"/>
      <c r="G233" s="64" t="s">
        <v>245</v>
      </c>
      <c r="H233" s="66"/>
      <c r="I233" s="69">
        <v>1922</v>
      </c>
      <c r="J233" s="66"/>
      <c r="K233" s="69">
        <v>3301</v>
      </c>
      <c r="L233" s="66"/>
      <c r="M233" s="69">
        <v>1489</v>
      </c>
      <c r="N233" s="66"/>
      <c r="O233" s="69">
        <v>1480.09</v>
      </c>
      <c r="P233" s="69"/>
      <c r="Q233" s="66">
        <v>331.22</v>
      </c>
      <c r="R233" s="66"/>
      <c r="S233" s="26">
        <v>19.989999999999998</v>
      </c>
      <c r="T233" s="29"/>
      <c r="U233" s="29"/>
      <c r="V233" s="26"/>
      <c r="W233" s="26">
        <v>3327.41</v>
      </c>
      <c r="X233" s="26"/>
      <c r="Y233" s="29">
        <v>2000</v>
      </c>
      <c r="AA233" s="29">
        <v>5000</v>
      </c>
      <c r="AC233" s="69">
        <f t="shared" si="256"/>
        <v>1324.26</v>
      </c>
      <c r="AD233" s="69">
        <f>MAX(K233:S233)</f>
        <v>3301</v>
      </c>
      <c r="AE233" s="69">
        <f>MIN(K233:S233)</f>
        <v>19.989999999999998</v>
      </c>
      <c r="AG233" s="69">
        <f t="shared" si="257"/>
        <v>2003.1499999999999</v>
      </c>
      <c r="AH233" s="69">
        <f t="shared" si="258"/>
        <v>26.409999999999854</v>
      </c>
      <c r="AI233" s="69">
        <f t="shared" si="259"/>
        <v>3307.42</v>
      </c>
      <c r="AK233" s="69">
        <f t="shared" si="260"/>
        <v>675.74</v>
      </c>
      <c r="AL233" s="69">
        <f t="shared" si="261"/>
        <v>-1301</v>
      </c>
      <c r="AM233" s="69">
        <f t="shared" si="262"/>
        <v>1980.01</v>
      </c>
    </row>
    <row r="234" spans="1:39" s="5" customFormat="1" ht="12" thickBot="1" x14ac:dyDescent="0.25">
      <c r="A234" s="64"/>
      <c r="B234" s="64"/>
      <c r="C234" s="64"/>
      <c r="D234" s="64"/>
      <c r="E234" s="64"/>
      <c r="F234" s="64" t="s">
        <v>246</v>
      </c>
      <c r="G234" s="64"/>
      <c r="H234" s="66"/>
      <c r="I234" s="70">
        <f>ROUND(SUM(I229:I233),5)</f>
        <v>5368</v>
      </c>
      <c r="J234" s="66"/>
      <c r="K234" s="70">
        <f>ROUND(SUM(K229:K233),5)</f>
        <v>11243</v>
      </c>
      <c r="L234" s="66"/>
      <c r="M234" s="70">
        <f>ROUND(SUM(M229:M233),5)</f>
        <v>17572</v>
      </c>
      <c r="N234" s="66"/>
      <c r="O234" s="70">
        <f>ROUND(SUM(O229:O233),5)</f>
        <v>21181.200000000001</v>
      </c>
      <c r="P234" s="70"/>
      <c r="Q234" s="70">
        <f>ROUND(SUM(Q229:Q233),5)</f>
        <v>8612.91</v>
      </c>
      <c r="R234" s="70"/>
      <c r="S234" s="32">
        <f>ROUND(SUM(S229:S233),5)</f>
        <v>2496.0100000000002</v>
      </c>
      <c r="T234" s="29"/>
      <c r="U234" s="29"/>
      <c r="V234" s="26"/>
      <c r="W234" s="32">
        <f>ROUND(SUM(W229:W233),5)</f>
        <v>4897.8</v>
      </c>
      <c r="X234" s="26"/>
      <c r="Y234" s="32">
        <f>ROUND(SUM(Y229:Y233),5)</f>
        <v>13000</v>
      </c>
      <c r="AA234" s="32">
        <f>ROUND(SUM(AA229:AA233),5)</f>
        <v>10150</v>
      </c>
      <c r="AC234" s="70">
        <f>ROUND(SUM(AC229:AC233),5)</f>
        <v>12347.424000000001</v>
      </c>
      <c r="AD234" s="70">
        <f>ROUND(SUM(AD229:AD233),5)</f>
        <v>23346.47</v>
      </c>
      <c r="AE234" s="70">
        <f>ROUND(SUM(AE229:AE233),5)</f>
        <v>2338.0100000000002</v>
      </c>
      <c r="AG234" s="70">
        <f>ROUND(SUM(AG229:AG233),5)</f>
        <v>-7460.1239999999998</v>
      </c>
      <c r="AH234" s="70">
        <f>ROUND(SUM(AH229:AH233),5)</f>
        <v>-18617.169999999998</v>
      </c>
      <c r="AI234" s="70">
        <f>ROUND(SUM(AI229:AI233),5)</f>
        <v>2391.29</v>
      </c>
      <c r="AK234" s="70">
        <f>ROUND(SUM(AK229:AK233),5)</f>
        <v>810.57600000000002</v>
      </c>
      <c r="AL234" s="70">
        <f>ROUND(SUM(AL229:AL233),5)</f>
        <v>-10346.469999999999</v>
      </c>
      <c r="AM234" s="70">
        <f>ROUND(SUM(AM229:AM233),5)</f>
        <v>10661.99</v>
      </c>
    </row>
    <row r="235" spans="1:39" s="5" customFormat="1" x14ac:dyDescent="0.2">
      <c r="A235" s="64"/>
      <c r="B235" s="64"/>
      <c r="C235" s="64"/>
      <c r="D235" s="64"/>
      <c r="E235" s="73" t="s">
        <v>247</v>
      </c>
      <c r="F235" s="64"/>
      <c r="G235" s="64"/>
      <c r="H235" s="66"/>
      <c r="I235" s="66">
        <f>ROUND(I212+I220+I224+I228+I234,5)</f>
        <v>81154</v>
      </c>
      <c r="J235" s="66"/>
      <c r="K235" s="66">
        <f>ROUND(K212+K220+K224+K228+K234,5)</f>
        <v>99365</v>
      </c>
      <c r="L235" s="66"/>
      <c r="M235" s="66">
        <f>ROUND(M212+M220+M224+M228+M234,5)</f>
        <v>138646</v>
      </c>
      <c r="N235" s="66"/>
      <c r="O235" s="66">
        <f>ROUND(O212+O220+O224+O228+O234,5)</f>
        <v>153171.32</v>
      </c>
      <c r="P235" s="66"/>
      <c r="Q235" s="66">
        <f>ROUND(Q212+Q220+Q224+Q228+Q234,5)</f>
        <v>100823.47</v>
      </c>
      <c r="R235" s="66"/>
      <c r="S235" s="26">
        <f>ROUND(S212+S220+S224+S228+S234,5)</f>
        <v>86852.95</v>
      </c>
      <c r="T235" s="26"/>
      <c r="U235" s="26"/>
      <c r="V235" s="26"/>
      <c r="W235" s="26">
        <f>ROUND(W212+W220+W224+W228+W234,5)</f>
        <v>65579.37</v>
      </c>
      <c r="X235" s="26"/>
      <c r="Y235" s="26">
        <f>ROUND(Y212+Y220+Y224+Y228+Y234,5)</f>
        <v>108766</v>
      </c>
      <c r="AA235" s="26">
        <f>ROUND(AA212+AA220+AA224+AA228+AA234,5)</f>
        <v>97908.556599999996</v>
      </c>
      <c r="AC235" s="66">
        <f>ROUND(AC212+AC220+AC224+AC228+AC234,5)</f>
        <v>117985.06</v>
      </c>
      <c r="AD235" s="66">
        <f>ROUND(AD212+AD220+AD224+AD228+AD234,5)</f>
        <v>163706.19</v>
      </c>
      <c r="AE235" s="66">
        <f>ROUND(AE212+AE220+AE224+AE228+AE234,5)</f>
        <v>80358.070000000007</v>
      </c>
      <c r="AG235" s="66">
        <f>ROUND(AG212+AG220+AG224+AG228+AG234,5)</f>
        <v>-52416.19</v>
      </c>
      <c r="AH235" s="66">
        <f>ROUND(AH212+AH220+AH224+AH228+AH234,5)</f>
        <v>-100250.73</v>
      </c>
      <c r="AI235" s="66">
        <f>ROUND(AI212+AI220+AI224+AI228+AI234,5)</f>
        <v>-15075.48</v>
      </c>
      <c r="AK235" s="66">
        <f>ROUND(AK212+AK220+AK224+AK228+AK234,5)</f>
        <v>-9069.16</v>
      </c>
      <c r="AL235" s="66">
        <f>ROUND(AL212+AL220+AL224+AL228+AL234,5)</f>
        <v>-58985.19</v>
      </c>
      <c r="AM235" s="66">
        <f>ROUND(AM212+AM220+AM224+AM228+AM234,5)</f>
        <v>28207.93</v>
      </c>
    </row>
    <row r="236" spans="1:39" s="5" customFormat="1" x14ac:dyDescent="0.2">
      <c r="A236" s="64"/>
      <c r="B236" s="64"/>
      <c r="C236" s="64"/>
      <c r="D236" s="64"/>
      <c r="E236" s="64"/>
      <c r="F236" s="64"/>
      <c r="G236" s="64"/>
      <c r="H236" s="66"/>
      <c r="I236" s="66"/>
      <c r="J236" s="66"/>
      <c r="K236" s="66"/>
      <c r="L236" s="66"/>
      <c r="M236" s="66"/>
      <c r="N236" s="66"/>
      <c r="O236" s="66"/>
      <c r="P236" s="66"/>
      <c r="Q236" s="66"/>
      <c r="R236" s="66"/>
      <c r="S236" s="26"/>
      <c r="T236" s="26"/>
      <c r="U236" s="26"/>
      <c r="V236" s="26"/>
      <c r="W236" s="26"/>
      <c r="X236" s="26"/>
      <c r="Y236" s="26"/>
      <c r="AA236" s="26"/>
      <c r="AC236" s="66"/>
      <c r="AD236" s="66"/>
      <c r="AE236" s="66"/>
      <c r="AG236" s="66"/>
      <c r="AH236" s="66"/>
      <c r="AI236" s="66"/>
      <c r="AK236" s="66"/>
      <c r="AL236" s="66"/>
      <c r="AM236" s="66"/>
    </row>
    <row r="237" spans="1:39" s="5" customFormat="1" x14ac:dyDescent="0.2">
      <c r="A237" s="64"/>
      <c r="B237" s="64"/>
      <c r="C237" s="64"/>
      <c r="D237" s="64"/>
      <c r="E237" s="73" t="s">
        <v>248</v>
      </c>
      <c r="F237" s="64"/>
      <c r="G237" s="64"/>
      <c r="H237" s="66"/>
      <c r="I237" s="66"/>
      <c r="J237" s="66"/>
      <c r="K237" s="66"/>
      <c r="L237" s="66"/>
      <c r="M237" s="66"/>
      <c r="N237" s="66"/>
      <c r="O237" s="66"/>
      <c r="P237" s="66"/>
      <c r="Q237" s="66"/>
      <c r="R237" s="66"/>
      <c r="S237" s="26"/>
      <c r="T237" s="26"/>
      <c r="U237" s="26"/>
      <c r="V237" s="26"/>
      <c r="W237" s="26"/>
      <c r="X237" s="26"/>
      <c r="Y237" s="26"/>
      <c r="AA237" s="26"/>
      <c r="AC237" s="66"/>
      <c r="AD237" s="66"/>
      <c r="AE237" s="66"/>
      <c r="AG237" s="66"/>
      <c r="AH237" s="66"/>
      <c r="AI237" s="66"/>
      <c r="AK237" s="66"/>
      <c r="AL237" s="66"/>
      <c r="AM237" s="66"/>
    </row>
    <row r="238" spans="1:39" s="5" customFormat="1" x14ac:dyDescent="0.2">
      <c r="A238" s="64"/>
      <c r="B238" s="64"/>
      <c r="C238" s="64"/>
      <c r="D238" s="64"/>
      <c r="E238" s="64"/>
      <c r="F238" s="64" t="s">
        <v>249</v>
      </c>
      <c r="G238" s="64"/>
      <c r="H238" s="66"/>
      <c r="I238" s="66"/>
      <c r="J238" s="66"/>
      <c r="K238" s="66"/>
      <c r="L238" s="66"/>
      <c r="M238" s="66"/>
      <c r="N238" s="66"/>
      <c r="O238" s="66"/>
      <c r="P238" s="66"/>
      <c r="Q238" s="66"/>
      <c r="R238" s="66"/>
      <c r="S238" s="26"/>
      <c r="T238" s="26"/>
      <c r="U238" s="26"/>
      <c r="V238" s="26"/>
      <c r="W238" s="26"/>
      <c r="X238" s="26"/>
      <c r="Y238" s="26"/>
      <c r="AA238" s="26"/>
      <c r="AC238" s="66"/>
      <c r="AD238" s="66"/>
      <c r="AE238" s="66"/>
      <c r="AG238" s="66"/>
      <c r="AH238" s="66"/>
      <c r="AI238" s="66"/>
      <c r="AK238" s="66"/>
      <c r="AL238" s="66"/>
      <c r="AM238" s="66"/>
    </row>
    <row r="239" spans="1:39" s="5" customFormat="1" x14ac:dyDescent="0.2">
      <c r="A239" s="64"/>
      <c r="B239" s="64"/>
      <c r="C239" s="64"/>
      <c r="D239" s="64"/>
      <c r="E239" s="64"/>
      <c r="F239" s="64"/>
      <c r="G239" s="64" t="s">
        <v>250</v>
      </c>
      <c r="H239" s="66"/>
      <c r="I239" s="66">
        <v>53057</v>
      </c>
      <c r="J239" s="66"/>
      <c r="K239" s="66">
        <v>53544</v>
      </c>
      <c r="L239" s="66"/>
      <c r="M239" s="66">
        <v>57591</v>
      </c>
      <c r="N239" s="66"/>
      <c r="O239" s="66">
        <v>205716.39</v>
      </c>
      <c r="P239" s="66"/>
      <c r="Q239" s="66">
        <v>69949.41</v>
      </c>
      <c r="R239" s="66"/>
      <c r="S239" s="26">
        <v>84599.17</v>
      </c>
      <c r="T239" s="26"/>
      <c r="U239" s="26"/>
      <c r="V239" s="26"/>
      <c r="W239" s="26">
        <v>60517.05</v>
      </c>
      <c r="X239" s="26"/>
      <c r="Y239" s="26">
        <v>83977</v>
      </c>
      <c r="AA239" s="26">
        <v>77305</v>
      </c>
      <c r="AC239" s="66">
        <f t="shared" ref="AC239:AC244" si="263">AVERAGE(K239:S239)</f>
        <v>94279.994000000006</v>
      </c>
      <c r="AD239" s="66">
        <f>MAX(K239:S239)</f>
        <v>205716.39</v>
      </c>
      <c r="AE239" s="66">
        <f>MIN(K239:S239)</f>
        <v>53544</v>
      </c>
      <c r="AG239" s="66">
        <f t="shared" ref="AG239:AG244" si="264">+W239-AC239</f>
        <v>-33762.944000000003</v>
      </c>
      <c r="AH239" s="66">
        <f t="shared" ref="AH239:AH244" si="265">+W239-AD239</f>
        <v>-145199.34000000003</v>
      </c>
      <c r="AI239" s="66">
        <f t="shared" ref="AI239:AI244" si="266">+W239-AE239</f>
        <v>6973.0500000000029</v>
      </c>
      <c r="AK239" s="66">
        <f t="shared" ref="AK239:AK244" si="267">+Y239-AC239</f>
        <v>-10302.994000000006</v>
      </c>
      <c r="AL239" s="66">
        <f t="shared" ref="AL239:AL244" si="268">+Y239-AD239</f>
        <v>-121739.39000000001</v>
      </c>
      <c r="AM239" s="66">
        <f t="shared" ref="AM239:AM244" si="269">+Y239-AE239</f>
        <v>30433</v>
      </c>
    </row>
    <row r="240" spans="1:39" s="5" customFormat="1" x14ac:dyDescent="0.2">
      <c r="A240" s="64"/>
      <c r="B240" s="64"/>
      <c r="C240" s="64"/>
      <c r="D240" s="64"/>
      <c r="E240" s="64"/>
      <c r="F240" s="64"/>
      <c r="G240" s="64" t="s">
        <v>251</v>
      </c>
      <c r="H240" s="66"/>
      <c r="I240" s="66">
        <v>4527</v>
      </c>
      <c r="J240" s="66"/>
      <c r="K240" s="66">
        <v>4593</v>
      </c>
      <c r="L240" s="66"/>
      <c r="M240" s="66">
        <v>4903</v>
      </c>
      <c r="N240" s="66"/>
      <c r="O240" s="66">
        <v>18528.79</v>
      </c>
      <c r="P240" s="66"/>
      <c r="Q240" s="66">
        <v>5861.83</v>
      </c>
      <c r="R240" s="66"/>
      <c r="S240" s="26">
        <v>7145.76</v>
      </c>
      <c r="T240" s="26"/>
      <c r="U240" s="26"/>
      <c r="V240" s="26"/>
      <c r="W240" s="26">
        <v>5285.88</v>
      </c>
      <c r="X240" s="26"/>
      <c r="Y240" s="26">
        <v>6425</v>
      </c>
      <c r="AA240" s="26">
        <f>+AA239*0.0765</f>
        <v>5913.8324999999995</v>
      </c>
      <c r="AC240" s="66">
        <f t="shared" si="263"/>
        <v>8206.4760000000006</v>
      </c>
      <c r="AD240" s="66">
        <f>MAX(K240:S240)</f>
        <v>18528.79</v>
      </c>
      <c r="AE240" s="66">
        <f>MIN(K240:S240)</f>
        <v>4593</v>
      </c>
      <c r="AG240" s="66">
        <f t="shared" si="264"/>
        <v>-2920.5960000000005</v>
      </c>
      <c r="AH240" s="66">
        <f t="shared" si="265"/>
        <v>-13242.91</v>
      </c>
      <c r="AI240" s="66">
        <f t="shared" si="266"/>
        <v>692.88000000000011</v>
      </c>
      <c r="AK240" s="66">
        <f t="shared" si="267"/>
        <v>-1781.4760000000006</v>
      </c>
      <c r="AL240" s="66">
        <f t="shared" si="268"/>
        <v>-12103.79</v>
      </c>
      <c r="AM240" s="66">
        <f t="shared" si="269"/>
        <v>1832</v>
      </c>
    </row>
    <row r="241" spans="1:39" s="43" customFormat="1" x14ac:dyDescent="0.2">
      <c r="A241" s="64"/>
      <c r="B241" s="64"/>
      <c r="C241" s="64"/>
      <c r="D241" s="64"/>
      <c r="E241" s="64"/>
      <c r="F241" s="64"/>
      <c r="G241" s="64" t="s">
        <v>252</v>
      </c>
      <c r="H241" s="69"/>
      <c r="I241" s="69">
        <v>8041</v>
      </c>
      <c r="J241" s="69"/>
      <c r="K241" s="69">
        <v>8829</v>
      </c>
      <c r="L241" s="69"/>
      <c r="M241" s="69">
        <v>7750</v>
      </c>
      <c r="N241" s="69"/>
      <c r="O241" s="69">
        <v>33199.839999999997</v>
      </c>
      <c r="P241" s="69"/>
      <c r="Q241" s="66">
        <v>31695.01</v>
      </c>
      <c r="R241" s="66"/>
      <c r="S241" s="26">
        <v>32769</v>
      </c>
      <c r="T241" s="29"/>
      <c r="U241" s="29"/>
      <c r="V241" s="29"/>
      <c r="W241" s="26">
        <v>27488.59</v>
      </c>
      <c r="X241" s="29"/>
      <c r="Y241" s="29">
        <v>32917</v>
      </c>
      <c r="AA241" s="29">
        <v>33541</v>
      </c>
      <c r="AC241" s="69">
        <f t="shared" si="263"/>
        <v>22848.57</v>
      </c>
      <c r="AD241" s="69">
        <f>MAX(K241:S241)</f>
        <v>33199.839999999997</v>
      </c>
      <c r="AE241" s="69">
        <f>MIN(K241:S241)</f>
        <v>7750</v>
      </c>
      <c r="AF241" s="5"/>
      <c r="AG241" s="69">
        <f t="shared" si="264"/>
        <v>4640.0200000000004</v>
      </c>
      <c r="AH241" s="69">
        <f t="shared" si="265"/>
        <v>-5711.2499999999964</v>
      </c>
      <c r="AI241" s="69">
        <f t="shared" si="266"/>
        <v>19738.59</v>
      </c>
      <c r="AJ241" s="5"/>
      <c r="AK241" s="69">
        <f t="shared" si="267"/>
        <v>10068.43</v>
      </c>
      <c r="AL241" s="69">
        <f t="shared" si="268"/>
        <v>-282.83999999999651</v>
      </c>
      <c r="AM241" s="69">
        <f t="shared" si="269"/>
        <v>25167</v>
      </c>
    </row>
    <row r="242" spans="1:39" s="43" customFormat="1" x14ac:dyDescent="0.2">
      <c r="A242" s="64"/>
      <c r="B242" s="64"/>
      <c r="C242" s="64"/>
      <c r="D242" s="64"/>
      <c r="E242" s="64"/>
      <c r="F242" s="64"/>
      <c r="G242" s="64" t="s">
        <v>253</v>
      </c>
      <c r="H242" s="69"/>
      <c r="I242" s="69"/>
      <c r="J242" s="69"/>
      <c r="K242" s="69"/>
      <c r="L242" s="69"/>
      <c r="M242" s="69"/>
      <c r="N242" s="69"/>
      <c r="O242" s="69"/>
      <c r="P242" s="69"/>
      <c r="Q242" s="66">
        <v>1143.0999999999999</v>
      </c>
      <c r="R242" s="66"/>
      <c r="S242" s="26">
        <v>1218.9000000000001</v>
      </c>
      <c r="T242" s="29"/>
      <c r="U242" s="29"/>
      <c r="V242" s="29"/>
      <c r="W242" s="26">
        <v>1061.4100000000001</v>
      </c>
      <c r="X242" s="29"/>
      <c r="Y242" s="29">
        <v>1256</v>
      </c>
      <c r="AA242" s="29">
        <v>1319</v>
      </c>
      <c r="AC242" s="69">
        <f t="shared" si="263"/>
        <v>1181</v>
      </c>
      <c r="AD242" s="69">
        <f>MAX(K242:S242)</f>
        <v>1218.9000000000001</v>
      </c>
      <c r="AE242" s="69">
        <f>MIN(K242:S242)</f>
        <v>1143.0999999999999</v>
      </c>
      <c r="AF242" s="5"/>
      <c r="AG242" s="69">
        <f t="shared" si="264"/>
        <v>-119.58999999999992</v>
      </c>
      <c r="AH242" s="69">
        <f t="shared" si="265"/>
        <v>-157.49</v>
      </c>
      <c r="AI242" s="69">
        <f t="shared" si="266"/>
        <v>-81.689999999999827</v>
      </c>
      <c r="AJ242" s="5"/>
      <c r="AK242" s="69">
        <f t="shared" si="267"/>
        <v>75</v>
      </c>
      <c r="AL242" s="69">
        <f t="shared" si="268"/>
        <v>37.099999999999909</v>
      </c>
      <c r="AM242" s="69">
        <f t="shared" si="269"/>
        <v>112.90000000000009</v>
      </c>
    </row>
    <row r="243" spans="1:39" s="43" customFormat="1" x14ac:dyDescent="0.2">
      <c r="A243" s="64"/>
      <c r="B243" s="64"/>
      <c r="C243" s="64"/>
      <c r="D243" s="64"/>
      <c r="E243" s="64"/>
      <c r="F243" s="64"/>
      <c r="G243" s="64" t="s">
        <v>254</v>
      </c>
      <c r="H243" s="69"/>
      <c r="I243" s="69"/>
      <c r="J243" s="69"/>
      <c r="K243" s="69"/>
      <c r="L243" s="69"/>
      <c r="M243" s="69"/>
      <c r="N243" s="69"/>
      <c r="O243" s="69"/>
      <c r="P243" s="69"/>
      <c r="Q243" s="66"/>
      <c r="R243" s="66"/>
      <c r="S243" s="26">
        <v>188</v>
      </c>
      <c r="T243" s="29"/>
      <c r="U243" s="29"/>
      <c r="V243" s="29"/>
      <c r="W243" s="26">
        <v>0</v>
      </c>
      <c r="X243" s="29"/>
      <c r="Y243" s="29">
        <v>200</v>
      </c>
      <c r="AA243" s="29">
        <v>200</v>
      </c>
      <c r="AC243" s="69">
        <f t="shared" si="263"/>
        <v>188</v>
      </c>
      <c r="AD243" s="69"/>
      <c r="AE243" s="69"/>
      <c r="AF243" s="5"/>
      <c r="AG243" s="69">
        <f t="shared" si="264"/>
        <v>-188</v>
      </c>
      <c r="AH243" s="69"/>
      <c r="AI243" s="69"/>
      <c r="AJ243" s="5"/>
      <c r="AK243" s="69"/>
      <c r="AL243" s="69"/>
      <c r="AM243" s="69"/>
    </row>
    <row r="244" spans="1:39" s="5" customFormat="1" ht="12" thickBot="1" x14ac:dyDescent="0.25">
      <c r="A244" s="64"/>
      <c r="B244" s="64"/>
      <c r="C244" s="64"/>
      <c r="D244" s="64"/>
      <c r="E244" s="64"/>
      <c r="F244" s="64"/>
      <c r="G244" s="64" t="s">
        <v>255</v>
      </c>
      <c r="H244" s="66"/>
      <c r="I244" s="71"/>
      <c r="J244" s="66"/>
      <c r="K244" s="71"/>
      <c r="L244" s="66"/>
      <c r="M244" s="71"/>
      <c r="N244" s="66"/>
      <c r="O244" s="71"/>
      <c r="P244" s="71"/>
      <c r="Q244" s="71">
        <v>0</v>
      </c>
      <c r="R244" s="71"/>
      <c r="S244" s="35">
        <v>596.25</v>
      </c>
      <c r="T244" s="29"/>
      <c r="U244" s="29"/>
      <c r="V244" s="26"/>
      <c r="W244" s="35">
        <v>297.31</v>
      </c>
      <c r="X244" s="26"/>
      <c r="Y244" s="35">
        <v>646</v>
      </c>
      <c r="AA244" s="35">
        <f>+AA239*0.79/100</f>
        <v>610.70950000000005</v>
      </c>
      <c r="AC244" s="71">
        <f t="shared" si="263"/>
        <v>298.125</v>
      </c>
      <c r="AD244" s="71">
        <f>MAX(K244:S244)</f>
        <v>596.25</v>
      </c>
      <c r="AE244" s="71">
        <f>MIN(K244:S244)</f>
        <v>0</v>
      </c>
      <c r="AG244" s="71">
        <f t="shared" si="264"/>
        <v>-0.81499999999999773</v>
      </c>
      <c r="AH244" s="71">
        <f t="shared" si="265"/>
        <v>-298.94</v>
      </c>
      <c r="AI244" s="71">
        <f t="shared" si="266"/>
        <v>297.31</v>
      </c>
      <c r="AK244" s="71">
        <f t="shared" si="267"/>
        <v>347.875</v>
      </c>
      <c r="AL244" s="71">
        <f t="shared" si="268"/>
        <v>49.75</v>
      </c>
      <c r="AM244" s="71">
        <f t="shared" si="269"/>
        <v>646</v>
      </c>
    </row>
    <row r="245" spans="1:39" s="5" customFormat="1" x14ac:dyDescent="0.2">
      <c r="A245" s="64"/>
      <c r="B245" s="64"/>
      <c r="C245" s="64"/>
      <c r="D245" s="64"/>
      <c r="E245" s="64"/>
      <c r="F245" s="64" t="s">
        <v>256</v>
      </c>
      <c r="G245" s="64"/>
      <c r="H245" s="66"/>
      <c r="I245" s="66">
        <f>ROUND(SUM(I238:I244),5)</f>
        <v>65625</v>
      </c>
      <c r="J245" s="66"/>
      <c r="K245" s="66">
        <f>ROUND(SUM(K238:K244),5)</f>
        <v>66966</v>
      </c>
      <c r="L245" s="66"/>
      <c r="M245" s="66">
        <f>ROUND(SUM(M238:M244),5)</f>
        <v>70244</v>
      </c>
      <c r="N245" s="66"/>
      <c r="O245" s="66">
        <f>ROUND(SUM(O238:O244),5)</f>
        <v>257445.02</v>
      </c>
      <c r="P245" s="66"/>
      <c r="Q245" s="66">
        <f>ROUND(SUM(Q238:Q244),5)</f>
        <v>108649.35</v>
      </c>
      <c r="R245" s="66"/>
      <c r="S245" s="26">
        <f>ROUND(SUM(S238:S244),5)</f>
        <v>126517.08</v>
      </c>
      <c r="T245" s="26"/>
      <c r="U245" s="26"/>
      <c r="V245" s="26"/>
      <c r="W245" s="26">
        <f>ROUND(SUM(W238:W244),5)</f>
        <v>94650.240000000005</v>
      </c>
      <c r="X245" s="26"/>
      <c r="Y245" s="26">
        <f>ROUND(SUM(Y238:Y244),5)</f>
        <v>125421</v>
      </c>
      <c r="AA245" s="26">
        <f>ROUND(SUM(AA238:AA244),5)</f>
        <v>118889.542</v>
      </c>
      <c r="AC245" s="66">
        <f>ROUND(SUM(AC238:AC244),5)</f>
        <v>127002.16499999999</v>
      </c>
      <c r="AD245" s="66">
        <f>ROUND(SUM(AD238:AD244),5)</f>
        <v>259260.17</v>
      </c>
      <c r="AE245" s="66">
        <f>ROUND(SUM(AE238:AE244),5)</f>
        <v>67030.100000000006</v>
      </c>
      <c r="AG245" s="66">
        <f>ROUND(SUM(AG238:AG244),5)</f>
        <v>-32351.924999999999</v>
      </c>
      <c r="AH245" s="66">
        <f>ROUND(SUM(AH238:AH244),5)</f>
        <v>-164609.93</v>
      </c>
      <c r="AI245" s="66">
        <f>ROUND(SUM(AI238:AI244),5)</f>
        <v>27620.14</v>
      </c>
      <c r="AJ245" s="66"/>
      <c r="AK245" s="66">
        <f>ROUND(SUM(AK238:AK244),5)</f>
        <v>-1593.165</v>
      </c>
      <c r="AL245" s="66">
        <f>ROUND(SUM(AL238:AL244),5)</f>
        <v>-134039.17000000001</v>
      </c>
      <c r="AM245" s="66">
        <f>ROUND(SUM(AM238:AM244),5)</f>
        <v>58190.9</v>
      </c>
    </row>
    <row r="246" spans="1:39" s="5" customFormat="1" x14ac:dyDescent="0.2">
      <c r="A246" s="64"/>
      <c r="B246" s="64"/>
      <c r="C246" s="64"/>
      <c r="D246" s="64"/>
      <c r="E246" s="64"/>
      <c r="F246" s="68" t="s">
        <v>353</v>
      </c>
      <c r="G246" s="64"/>
      <c r="H246" s="66"/>
      <c r="I246" s="66"/>
      <c r="J246" s="66"/>
      <c r="K246" s="66"/>
      <c r="L246" s="66"/>
      <c r="M246" s="66"/>
      <c r="N246" s="66"/>
      <c r="O246" s="66"/>
      <c r="P246" s="66"/>
      <c r="Q246" s="66"/>
      <c r="R246" s="66"/>
      <c r="S246" s="26"/>
      <c r="T246" s="26"/>
      <c r="U246" s="26"/>
      <c r="V246" s="26"/>
      <c r="W246" s="26"/>
      <c r="X246" s="26"/>
      <c r="Y246" s="26"/>
      <c r="AA246" s="26"/>
      <c r="AC246" s="66"/>
      <c r="AD246" s="66"/>
      <c r="AE246" s="66"/>
      <c r="AG246" s="66"/>
      <c r="AH246" s="66"/>
      <c r="AI246" s="66"/>
      <c r="AK246" s="66"/>
      <c r="AL246" s="66"/>
      <c r="AM246" s="66"/>
    </row>
    <row r="247" spans="1:39" s="5" customFormat="1" x14ac:dyDescent="0.2">
      <c r="A247" s="64"/>
      <c r="B247" s="64"/>
      <c r="C247" s="64"/>
      <c r="D247" s="64"/>
      <c r="E247" s="64"/>
      <c r="F247" s="64"/>
      <c r="G247" s="64" t="s">
        <v>258</v>
      </c>
      <c r="H247" s="66"/>
      <c r="I247" s="66"/>
      <c r="J247" s="66"/>
      <c r="K247" s="66"/>
      <c r="L247" s="66"/>
      <c r="M247" s="66"/>
      <c r="N247" s="66"/>
      <c r="O247" s="66"/>
      <c r="P247" s="66"/>
      <c r="Q247" s="66">
        <v>86346.12</v>
      </c>
      <c r="R247" s="66"/>
      <c r="S247" s="26">
        <v>57536.82</v>
      </c>
      <c r="T247" s="26"/>
      <c r="U247" s="26"/>
      <c r="V247" s="26"/>
      <c r="W247" s="26">
        <v>15680.59</v>
      </c>
      <c r="X247" s="26"/>
      <c r="Y247" s="26">
        <v>82500</v>
      </c>
      <c r="AA247" s="26">
        <v>85000</v>
      </c>
      <c r="AC247" s="66">
        <f t="shared" ref="AC247:AC250" si="270">AVERAGE(K247:S247)</f>
        <v>71941.47</v>
      </c>
      <c r="AD247" s="66">
        <f>MAX(K247:S247)</f>
        <v>86346.12</v>
      </c>
      <c r="AE247" s="66">
        <f>MIN(K247:S247)</f>
        <v>57536.82</v>
      </c>
      <c r="AG247" s="66">
        <f t="shared" ref="AG247:AG250" si="271">+W247-AC247</f>
        <v>-56260.880000000005</v>
      </c>
      <c r="AH247" s="66">
        <f t="shared" ref="AH247:AH250" si="272">+W247-AD247</f>
        <v>-70665.53</v>
      </c>
      <c r="AI247" s="66">
        <f t="shared" ref="AI247:AI250" si="273">+W247-AE247</f>
        <v>-41856.229999999996</v>
      </c>
      <c r="AK247" s="66">
        <f t="shared" ref="AK247:AK250" si="274">+Y247-AC247</f>
        <v>10558.529999999999</v>
      </c>
      <c r="AL247" s="66">
        <f t="shared" ref="AL247:AL250" si="275">+Y247-AD247</f>
        <v>-3846.1199999999953</v>
      </c>
      <c r="AM247" s="66">
        <f t="shared" ref="AM247:AM250" si="276">+Y247-AE247</f>
        <v>24963.18</v>
      </c>
    </row>
    <row r="248" spans="1:39" s="5" customFormat="1" x14ac:dyDescent="0.2">
      <c r="A248" s="64"/>
      <c r="B248" s="64"/>
      <c r="C248" s="64"/>
      <c r="D248" s="64"/>
      <c r="E248" s="64"/>
      <c r="F248" s="64"/>
      <c r="G248" s="64" t="s">
        <v>259</v>
      </c>
      <c r="H248" s="66"/>
      <c r="I248" s="66"/>
      <c r="J248" s="66"/>
      <c r="K248" s="66"/>
      <c r="L248" s="66"/>
      <c r="M248" s="66"/>
      <c r="N248" s="66"/>
      <c r="O248" s="66"/>
      <c r="P248" s="66"/>
      <c r="Q248" s="66">
        <v>7892.36</v>
      </c>
      <c r="R248" s="66"/>
      <c r="S248" s="26">
        <v>5303.14</v>
      </c>
      <c r="T248" s="26"/>
      <c r="U248" s="26"/>
      <c r="V248" s="26"/>
      <c r="W248" s="26">
        <v>2622.42</v>
      </c>
      <c r="X248" s="26"/>
      <c r="Y248" s="26">
        <v>6312</v>
      </c>
      <c r="AA248" s="26">
        <f>+AA247*0.0765</f>
        <v>6502.5</v>
      </c>
      <c r="AC248" s="66">
        <f t="shared" si="270"/>
        <v>6597.75</v>
      </c>
      <c r="AD248" s="66">
        <f>MAX(K248:S248)</f>
        <v>7892.36</v>
      </c>
      <c r="AE248" s="66">
        <f>MIN(K248:S248)</f>
        <v>5303.14</v>
      </c>
      <c r="AG248" s="66">
        <f t="shared" si="271"/>
        <v>-3975.33</v>
      </c>
      <c r="AH248" s="66">
        <f t="shared" si="272"/>
        <v>-5269.94</v>
      </c>
      <c r="AI248" s="66">
        <f t="shared" si="273"/>
        <v>-2680.7200000000003</v>
      </c>
      <c r="AK248" s="66">
        <f t="shared" si="274"/>
        <v>-285.75</v>
      </c>
      <c r="AL248" s="66">
        <f t="shared" si="275"/>
        <v>-1580.3599999999997</v>
      </c>
      <c r="AM248" s="66">
        <f t="shared" si="276"/>
        <v>1008.8599999999997</v>
      </c>
    </row>
    <row r="249" spans="1:39" s="43" customFormat="1" x14ac:dyDescent="0.2">
      <c r="A249" s="64"/>
      <c r="B249" s="64"/>
      <c r="C249" s="64"/>
      <c r="D249" s="64"/>
      <c r="E249" s="64"/>
      <c r="F249" s="64"/>
      <c r="G249" s="64" t="s">
        <v>260</v>
      </c>
      <c r="H249" s="69"/>
      <c r="I249" s="69"/>
      <c r="J249" s="69"/>
      <c r="K249" s="69"/>
      <c r="L249" s="69"/>
      <c r="M249" s="69"/>
      <c r="N249" s="69"/>
      <c r="O249" s="69"/>
      <c r="P249" s="69"/>
      <c r="Q249" s="66">
        <v>283.92</v>
      </c>
      <c r="R249" s="66"/>
      <c r="S249" s="26">
        <v>698.49</v>
      </c>
      <c r="T249" s="29"/>
      <c r="U249" s="29"/>
      <c r="V249" s="29"/>
      <c r="W249" s="26">
        <v>0</v>
      </c>
      <c r="X249" s="29"/>
      <c r="Y249" s="29">
        <v>700</v>
      </c>
      <c r="AA249" s="29">
        <v>1700</v>
      </c>
      <c r="AC249" s="69">
        <f t="shared" si="270"/>
        <v>491.20500000000004</v>
      </c>
      <c r="AD249" s="69">
        <f>MAX(K249:S249)</f>
        <v>698.49</v>
      </c>
      <c r="AE249" s="69">
        <f>MIN(K249:S249)</f>
        <v>283.92</v>
      </c>
      <c r="AF249" s="5"/>
      <c r="AG249" s="69">
        <f t="shared" si="271"/>
        <v>-491.20500000000004</v>
      </c>
      <c r="AH249" s="69">
        <f t="shared" si="272"/>
        <v>-698.49</v>
      </c>
      <c r="AI249" s="69">
        <f t="shared" si="273"/>
        <v>-283.92</v>
      </c>
      <c r="AJ249" s="5"/>
      <c r="AK249" s="69">
        <f t="shared" si="274"/>
        <v>208.79499999999996</v>
      </c>
      <c r="AL249" s="69">
        <f t="shared" si="275"/>
        <v>1.5099999999999909</v>
      </c>
      <c r="AM249" s="69">
        <f t="shared" si="276"/>
        <v>416.08</v>
      </c>
    </row>
    <row r="250" spans="1:39" s="5" customFormat="1" ht="12" thickBot="1" x14ac:dyDescent="0.25">
      <c r="A250" s="64"/>
      <c r="B250" s="64"/>
      <c r="C250" s="64"/>
      <c r="D250" s="64"/>
      <c r="E250" s="64"/>
      <c r="F250" s="64"/>
      <c r="G250" s="64" t="s">
        <v>261</v>
      </c>
      <c r="H250" s="66"/>
      <c r="I250" s="71"/>
      <c r="J250" s="66"/>
      <c r="K250" s="71"/>
      <c r="L250" s="66"/>
      <c r="M250" s="71"/>
      <c r="N250" s="66"/>
      <c r="O250" s="71"/>
      <c r="P250" s="71"/>
      <c r="Q250" s="71">
        <v>0</v>
      </c>
      <c r="R250" s="71"/>
      <c r="S250" s="35">
        <v>621</v>
      </c>
      <c r="T250" s="29"/>
      <c r="U250" s="29"/>
      <c r="V250" s="26"/>
      <c r="W250" s="35">
        <v>306.26</v>
      </c>
      <c r="X250" s="26"/>
      <c r="Y250" s="35">
        <v>652</v>
      </c>
      <c r="AA250" s="35">
        <f>0.79*AA247/100</f>
        <v>671.5</v>
      </c>
      <c r="AC250" s="71">
        <f t="shared" si="270"/>
        <v>310.5</v>
      </c>
      <c r="AD250" s="71">
        <f>MAX(K250:S250)</f>
        <v>621</v>
      </c>
      <c r="AE250" s="71">
        <f>MIN(K250:S250)</f>
        <v>0</v>
      </c>
      <c r="AG250" s="71">
        <f t="shared" si="271"/>
        <v>-4.2400000000000091</v>
      </c>
      <c r="AH250" s="71">
        <f t="shared" si="272"/>
        <v>-314.74</v>
      </c>
      <c r="AI250" s="71">
        <f t="shared" si="273"/>
        <v>306.26</v>
      </c>
      <c r="AK250" s="71">
        <f t="shared" si="274"/>
        <v>341.5</v>
      </c>
      <c r="AL250" s="71">
        <f t="shared" si="275"/>
        <v>31</v>
      </c>
      <c r="AM250" s="71">
        <f t="shared" si="276"/>
        <v>652</v>
      </c>
    </row>
    <row r="251" spans="1:39" s="5" customFormat="1" x14ac:dyDescent="0.2">
      <c r="A251" s="64"/>
      <c r="B251" s="64"/>
      <c r="C251" s="64"/>
      <c r="D251" s="64"/>
      <c r="E251" s="64"/>
      <c r="F251" s="64" t="s">
        <v>262</v>
      </c>
      <c r="G251" s="64"/>
      <c r="H251" s="66"/>
      <c r="I251" s="66">
        <f>ROUND(SUM(I246:I250),5)</f>
        <v>0</v>
      </c>
      <c r="J251" s="66"/>
      <c r="K251" s="66">
        <f>ROUND(SUM(K246:K250),5)</f>
        <v>0</v>
      </c>
      <c r="L251" s="66"/>
      <c r="M251" s="66">
        <f>ROUND(SUM(M246:M250),5)</f>
        <v>0</v>
      </c>
      <c r="N251" s="66"/>
      <c r="O251" s="66">
        <f>ROUND(SUM(O246:O250),5)</f>
        <v>0</v>
      </c>
      <c r="P251" s="66"/>
      <c r="Q251" s="66">
        <f>ROUND(SUM(Q246:Q250),5)</f>
        <v>94522.4</v>
      </c>
      <c r="R251" s="66"/>
      <c r="S251" s="26">
        <f>ROUND(SUM(S246:S250),5)</f>
        <v>64159.45</v>
      </c>
      <c r="T251" s="26"/>
      <c r="U251" s="26"/>
      <c r="V251" s="26"/>
      <c r="W251" s="26">
        <f>ROUND(SUM(W246:W250),5)</f>
        <v>18609.27</v>
      </c>
      <c r="X251" s="26"/>
      <c r="Y251" s="26">
        <f>ROUND(SUM(Y246:Y250),5)</f>
        <v>90164</v>
      </c>
      <c r="AA251" s="26">
        <f>ROUND(SUM(AA246:AA250),5)</f>
        <v>93874</v>
      </c>
      <c r="AC251" s="66">
        <f>ROUND(SUM(AC246:AC250),5)</f>
        <v>79340.925000000003</v>
      </c>
      <c r="AD251" s="66">
        <f>ROUND(SUM(AD246:AD250),5)</f>
        <v>95557.97</v>
      </c>
      <c r="AE251" s="66">
        <f>ROUND(SUM(AE246:AE250),5)</f>
        <v>63123.88</v>
      </c>
      <c r="AG251" s="66">
        <f>ROUND(SUM(AG246:AG250),5)</f>
        <v>-60731.654999999999</v>
      </c>
      <c r="AH251" s="66">
        <f>ROUND(SUM(AH246:AH250),5)</f>
        <v>-76948.7</v>
      </c>
      <c r="AI251" s="66">
        <f>ROUND(SUM(AI246:AI250),5)</f>
        <v>-44514.61</v>
      </c>
      <c r="AK251" s="66">
        <f>ROUND(SUM(AK246:AK250),5)</f>
        <v>10823.075000000001</v>
      </c>
      <c r="AL251" s="66">
        <f>ROUND(SUM(AL246:AL250),5)</f>
        <v>-5393.97</v>
      </c>
      <c r="AM251" s="66">
        <f>ROUND(SUM(AM246:AM250),5)</f>
        <v>27040.12</v>
      </c>
    </row>
    <row r="252" spans="1:39" s="5" customFormat="1" x14ac:dyDescent="0.2">
      <c r="A252" s="64"/>
      <c r="B252" s="64"/>
      <c r="C252" s="64"/>
      <c r="D252" s="64"/>
      <c r="E252" s="64"/>
      <c r="F252" s="64" t="s">
        <v>263</v>
      </c>
      <c r="G252" s="64"/>
      <c r="H252" s="66"/>
      <c r="I252" s="66"/>
      <c r="J252" s="66"/>
      <c r="K252" s="66"/>
      <c r="L252" s="66"/>
      <c r="M252" s="66"/>
      <c r="N252" s="66"/>
      <c r="O252" s="66"/>
      <c r="P252" s="66"/>
      <c r="Q252" s="66"/>
      <c r="R252" s="66"/>
      <c r="S252" s="26"/>
      <c r="T252" s="26"/>
      <c r="U252" s="26"/>
      <c r="V252" s="26"/>
      <c r="W252" s="26"/>
      <c r="X252" s="26"/>
      <c r="Y252" s="26"/>
      <c r="AA252" s="26"/>
      <c r="AC252" s="66"/>
      <c r="AD252" s="66"/>
      <c r="AE252" s="66"/>
      <c r="AG252" s="66"/>
      <c r="AH252" s="66"/>
      <c r="AI252" s="66"/>
      <c r="AK252" s="66"/>
      <c r="AL252" s="66"/>
      <c r="AM252" s="66"/>
    </row>
    <row r="253" spans="1:39" s="5" customFormat="1" x14ac:dyDescent="0.2">
      <c r="A253" s="64"/>
      <c r="B253" s="64"/>
      <c r="C253" s="64"/>
      <c r="D253" s="64"/>
      <c r="E253" s="64"/>
      <c r="F253" s="64"/>
      <c r="G253" s="64" t="s">
        <v>264</v>
      </c>
      <c r="H253" s="66"/>
      <c r="I253" s="66">
        <v>684</v>
      </c>
      <c r="J253" s="66"/>
      <c r="K253" s="66">
        <v>655</v>
      </c>
      <c r="L253" s="66"/>
      <c r="M253" s="66">
        <v>1198</v>
      </c>
      <c r="N253" s="66"/>
      <c r="O253" s="66">
        <v>6712.46</v>
      </c>
      <c r="P253" s="66"/>
      <c r="Q253" s="66">
        <v>12162.82</v>
      </c>
      <c r="R253" s="66"/>
      <c r="S253" s="26">
        <v>12755.44</v>
      </c>
      <c r="T253" s="26"/>
      <c r="U253" s="26"/>
      <c r="V253" s="26"/>
      <c r="W253" s="26">
        <f>8876.8+75</f>
        <v>8951.7999999999993</v>
      </c>
      <c r="X253" s="26"/>
      <c r="Y253" s="26">
        <v>12000</v>
      </c>
      <c r="AA253" s="26">
        <v>14001</v>
      </c>
      <c r="AC253" s="66">
        <f t="shared" ref="AC253:AC256" si="277">AVERAGE(K253:S253)</f>
        <v>6696.7440000000006</v>
      </c>
      <c r="AD253" s="66">
        <f>MAX(K253:S253)</f>
        <v>12755.44</v>
      </c>
      <c r="AE253" s="66">
        <f>MIN(K253:S253)</f>
        <v>655</v>
      </c>
      <c r="AG253" s="66">
        <f t="shared" ref="AG253:AG256" si="278">+W253-AC253</f>
        <v>2255.0559999999987</v>
      </c>
      <c r="AH253" s="66">
        <f t="shared" ref="AH253:AH256" si="279">+W253-AD253</f>
        <v>-3803.6400000000012</v>
      </c>
      <c r="AI253" s="66">
        <f t="shared" ref="AI253:AI256" si="280">+W253-AE253</f>
        <v>8296.7999999999993</v>
      </c>
      <c r="AK253" s="66">
        <f t="shared" ref="AK253:AK256" si="281">+Y253-AC253</f>
        <v>5303.2559999999994</v>
      </c>
      <c r="AL253" s="66">
        <f t="shared" ref="AL253:AL256" si="282">+Y253-AD253</f>
        <v>-755.44000000000051</v>
      </c>
      <c r="AM253" s="66">
        <f t="shared" ref="AM253:AM256" si="283">+Y253-AE253</f>
        <v>11345</v>
      </c>
    </row>
    <row r="254" spans="1:39" s="5" customFormat="1" x14ac:dyDescent="0.2">
      <c r="A254" s="64"/>
      <c r="B254" s="64"/>
      <c r="C254" s="64"/>
      <c r="D254" s="64"/>
      <c r="E254" s="64"/>
      <c r="F254" s="64"/>
      <c r="G254" s="64" t="s">
        <v>265</v>
      </c>
      <c r="H254" s="66"/>
      <c r="I254" s="66"/>
      <c r="J254" s="66"/>
      <c r="K254" s="66"/>
      <c r="L254" s="66"/>
      <c r="M254" s="66"/>
      <c r="N254" s="66"/>
      <c r="O254" s="66"/>
      <c r="P254" s="66"/>
      <c r="Q254" s="66">
        <v>1150</v>
      </c>
      <c r="R254" s="66"/>
      <c r="S254" s="26">
        <v>0</v>
      </c>
      <c r="T254" s="26"/>
      <c r="U254" s="26"/>
      <c r="V254" s="26"/>
      <c r="W254" s="26"/>
      <c r="X254" s="26"/>
      <c r="Y254" s="26">
        <v>0</v>
      </c>
      <c r="AA254" s="26"/>
      <c r="AC254" s="66">
        <f t="shared" si="277"/>
        <v>575</v>
      </c>
      <c r="AD254" s="66">
        <f>MAX(K254:S254)</f>
        <v>1150</v>
      </c>
      <c r="AE254" s="66">
        <f>MIN(K254:S254)</f>
        <v>0</v>
      </c>
      <c r="AG254" s="66">
        <f t="shared" si="278"/>
        <v>-575</v>
      </c>
      <c r="AH254" s="66">
        <f t="shared" si="279"/>
        <v>-1150</v>
      </c>
      <c r="AI254" s="66">
        <f t="shared" si="280"/>
        <v>0</v>
      </c>
      <c r="AK254" s="66">
        <f t="shared" si="281"/>
        <v>-575</v>
      </c>
      <c r="AL254" s="66">
        <f t="shared" si="282"/>
        <v>-1150</v>
      </c>
      <c r="AM254" s="66">
        <f t="shared" si="283"/>
        <v>0</v>
      </c>
    </row>
    <row r="255" spans="1:39" s="5" customFormat="1" x14ac:dyDescent="0.2">
      <c r="A255" s="64"/>
      <c r="B255" s="64"/>
      <c r="C255" s="64"/>
      <c r="D255" s="64"/>
      <c r="E255" s="64"/>
      <c r="F255" s="64"/>
      <c r="G255" s="64" t="s">
        <v>266</v>
      </c>
      <c r="H255" s="66"/>
      <c r="I255" s="66"/>
      <c r="J255" s="66"/>
      <c r="K255" s="66"/>
      <c r="L255" s="66"/>
      <c r="M255" s="66"/>
      <c r="N255" s="66"/>
      <c r="O255" s="66"/>
      <c r="P255" s="66"/>
      <c r="Q255" s="66">
        <v>411</v>
      </c>
      <c r="R255" s="66"/>
      <c r="S255" s="26">
        <v>432.89</v>
      </c>
      <c r="T255" s="26"/>
      <c r="U255" s="26"/>
      <c r="V255" s="26"/>
      <c r="W255" s="26">
        <v>426</v>
      </c>
      <c r="X255" s="26"/>
      <c r="Y255" s="26">
        <v>450</v>
      </c>
      <c r="AA255" s="26">
        <v>450</v>
      </c>
      <c r="AC255" s="66">
        <f t="shared" si="277"/>
        <v>421.94499999999999</v>
      </c>
      <c r="AD255" s="66">
        <f>MAX(K255:S255)</f>
        <v>432.89</v>
      </c>
      <c r="AE255" s="66">
        <f>MIN(K255:S255)</f>
        <v>411</v>
      </c>
      <c r="AG255" s="66">
        <f t="shared" si="278"/>
        <v>4.0550000000000068</v>
      </c>
      <c r="AH255" s="66">
        <f t="shared" si="279"/>
        <v>-6.8899999999999864</v>
      </c>
      <c r="AI255" s="66">
        <f t="shared" si="280"/>
        <v>15</v>
      </c>
      <c r="AK255" s="66">
        <f t="shared" si="281"/>
        <v>28.055000000000007</v>
      </c>
      <c r="AL255" s="66">
        <f t="shared" si="282"/>
        <v>17.110000000000014</v>
      </c>
      <c r="AM255" s="66">
        <f t="shared" si="283"/>
        <v>39</v>
      </c>
    </row>
    <row r="256" spans="1:39" s="5" customFormat="1" ht="12" thickBot="1" x14ac:dyDescent="0.25">
      <c r="A256" s="64"/>
      <c r="B256" s="64"/>
      <c r="C256" s="64"/>
      <c r="D256" s="64"/>
      <c r="E256" s="64"/>
      <c r="F256" s="64"/>
      <c r="G256" s="64" t="s">
        <v>267</v>
      </c>
      <c r="H256" s="66"/>
      <c r="I256" s="71"/>
      <c r="J256" s="66"/>
      <c r="K256" s="71"/>
      <c r="L256" s="66"/>
      <c r="M256" s="71"/>
      <c r="N256" s="66"/>
      <c r="O256" s="71"/>
      <c r="P256" s="71"/>
      <c r="Q256" s="71">
        <v>4481.8100000000004</v>
      </c>
      <c r="R256" s="71"/>
      <c r="S256" s="35">
        <v>3927.97</v>
      </c>
      <c r="T256" s="29"/>
      <c r="U256" s="29"/>
      <c r="V256" s="26"/>
      <c r="W256" s="35">
        <v>12760.59</v>
      </c>
      <c r="X256" s="26"/>
      <c r="Y256" s="35">
        <v>1200</v>
      </c>
      <c r="AA256" s="35">
        <v>1200</v>
      </c>
      <c r="AC256" s="71">
        <f t="shared" si="277"/>
        <v>4204.8900000000003</v>
      </c>
      <c r="AD256" s="71">
        <f>MAX(K256:S256)</f>
        <v>4481.8100000000004</v>
      </c>
      <c r="AE256" s="71">
        <f>MIN(K256:S256)</f>
        <v>3927.97</v>
      </c>
      <c r="AG256" s="71">
        <f t="shared" si="278"/>
        <v>8555.7000000000007</v>
      </c>
      <c r="AH256" s="71">
        <f t="shared" si="279"/>
        <v>8278.7799999999988</v>
      </c>
      <c r="AI256" s="71">
        <f t="shared" si="280"/>
        <v>8832.6200000000008</v>
      </c>
      <c r="AK256" s="71">
        <f t="shared" si="281"/>
        <v>-3004.8900000000003</v>
      </c>
      <c r="AL256" s="71">
        <f t="shared" si="282"/>
        <v>-3281.8100000000004</v>
      </c>
      <c r="AM256" s="71">
        <f t="shared" si="283"/>
        <v>-2727.97</v>
      </c>
    </row>
    <row r="257" spans="1:39" s="5" customFormat="1" x14ac:dyDescent="0.2">
      <c r="A257" s="64"/>
      <c r="B257" s="64"/>
      <c r="C257" s="64"/>
      <c r="D257" s="64"/>
      <c r="E257" s="64"/>
      <c r="F257" s="64" t="s">
        <v>268</v>
      </c>
      <c r="G257" s="64"/>
      <c r="H257" s="66"/>
      <c r="I257" s="66">
        <f>ROUND(SUM(I252:I256),5)</f>
        <v>684</v>
      </c>
      <c r="J257" s="66"/>
      <c r="K257" s="66">
        <f>ROUND(SUM(K252:K256),5)</f>
        <v>655</v>
      </c>
      <c r="L257" s="66"/>
      <c r="M257" s="66">
        <f>ROUND(SUM(M252:M256),5)</f>
        <v>1198</v>
      </c>
      <c r="N257" s="66"/>
      <c r="O257" s="66">
        <f>ROUND(SUM(O252:O256),5)</f>
        <v>6712.46</v>
      </c>
      <c r="P257" s="66"/>
      <c r="Q257" s="66">
        <f>ROUND(SUM(Q252:Q256),5)</f>
        <v>18205.63</v>
      </c>
      <c r="R257" s="66"/>
      <c r="S257" s="26">
        <f>ROUND(SUM(S252:S256),5)</f>
        <v>17116.3</v>
      </c>
      <c r="T257" s="26"/>
      <c r="U257" s="26"/>
      <c r="V257" s="26"/>
      <c r="W257" s="26">
        <f>ROUND(SUM(W252:W256),5)</f>
        <v>22138.39</v>
      </c>
      <c r="X257" s="26"/>
      <c r="Y257" s="26">
        <f>ROUND(SUM(Y252:Y256),5)</f>
        <v>13650</v>
      </c>
      <c r="AA257" s="26">
        <f>ROUND(SUM(AA252:AA256),5)</f>
        <v>15651</v>
      </c>
      <c r="AC257" s="66">
        <f t="shared" ref="AC257:AE257" si="284">ROUND(SUM(AC252:AC256),5)</f>
        <v>11898.579</v>
      </c>
      <c r="AD257" s="66">
        <f t="shared" si="284"/>
        <v>18820.14</v>
      </c>
      <c r="AE257" s="66">
        <f t="shared" si="284"/>
        <v>4993.97</v>
      </c>
      <c r="AG257" s="66">
        <f t="shared" ref="AG257:AI257" si="285">ROUND(SUM(AG252:AG256),5)</f>
        <v>10239.811</v>
      </c>
      <c r="AH257" s="66">
        <f t="shared" si="285"/>
        <v>3318.25</v>
      </c>
      <c r="AI257" s="66">
        <f t="shared" si="285"/>
        <v>17144.419999999998</v>
      </c>
      <c r="AK257" s="66">
        <f t="shared" ref="AK257:AM257" si="286">ROUND(SUM(AK252:AK256),5)</f>
        <v>1751.421</v>
      </c>
      <c r="AL257" s="66">
        <f t="shared" si="286"/>
        <v>-5170.1400000000003</v>
      </c>
      <c r="AM257" s="66">
        <f t="shared" si="286"/>
        <v>8656.0300000000007</v>
      </c>
    </row>
    <row r="258" spans="1:39" s="5" customFormat="1" x14ac:dyDescent="0.2">
      <c r="A258" s="64"/>
      <c r="B258" s="64"/>
      <c r="C258" s="64"/>
      <c r="D258" s="64"/>
      <c r="E258" s="64"/>
      <c r="F258" s="64" t="s">
        <v>269</v>
      </c>
      <c r="G258" s="64"/>
      <c r="H258" s="66"/>
      <c r="I258" s="66"/>
      <c r="J258" s="66"/>
      <c r="K258" s="66"/>
      <c r="L258" s="66"/>
      <c r="M258" s="66"/>
      <c r="N258" s="66"/>
      <c r="O258" s="66"/>
      <c r="P258" s="66"/>
      <c r="Q258" s="66"/>
      <c r="R258" s="66"/>
      <c r="S258" s="26"/>
      <c r="T258" s="26"/>
      <c r="U258" s="26"/>
      <c r="V258" s="26"/>
      <c r="W258" s="26"/>
      <c r="X258" s="26"/>
      <c r="Y258" s="26"/>
      <c r="AA258" s="26"/>
      <c r="AC258" s="66"/>
      <c r="AD258" s="66"/>
      <c r="AE258" s="66"/>
      <c r="AG258" s="66"/>
      <c r="AH258" s="66"/>
      <c r="AI258" s="66"/>
      <c r="AK258" s="66"/>
      <c r="AL258" s="66"/>
      <c r="AM258" s="66"/>
    </row>
    <row r="259" spans="1:39" s="5" customFormat="1" x14ac:dyDescent="0.2">
      <c r="A259" s="64"/>
      <c r="B259" s="64"/>
      <c r="C259" s="64"/>
      <c r="D259" s="64"/>
      <c r="E259" s="64"/>
      <c r="F259" s="64"/>
      <c r="G259" s="64" t="s">
        <v>270</v>
      </c>
      <c r="H259" s="66"/>
      <c r="I259" s="66">
        <v>1826</v>
      </c>
      <c r="J259" s="66"/>
      <c r="K259" s="66">
        <v>1543</v>
      </c>
      <c r="L259" s="66"/>
      <c r="M259" s="66">
        <v>1339</v>
      </c>
      <c r="N259" s="66"/>
      <c r="O259" s="66">
        <v>1630.07</v>
      </c>
      <c r="P259" s="66"/>
      <c r="Q259" s="66">
        <v>67.3</v>
      </c>
      <c r="R259" s="66"/>
      <c r="S259" s="26">
        <v>270.89</v>
      </c>
      <c r="T259" s="26"/>
      <c r="U259" s="26"/>
      <c r="V259" s="26"/>
      <c r="W259" s="26">
        <v>0</v>
      </c>
      <c r="X259" s="26"/>
      <c r="Y259" s="26">
        <v>300</v>
      </c>
      <c r="AA259" s="26">
        <v>750</v>
      </c>
      <c r="AC259" s="66">
        <f t="shared" ref="AC259:AC261" si="287">AVERAGE(K259:S259)</f>
        <v>970.05200000000002</v>
      </c>
      <c r="AD259" s="66">
        <f>MAX(K259:S259)</f>
        <v>1630.07</v>
      </c>
      <c r="AE259" s="66">
        <f>MIN(K259:S259)</f>
        <v>67.3</v>
      </c>
      <c r="AG259" s="66">
        <f t="shared" ref="AG259:AG261" si="288">+W259-AC259</f>
        <v>-970.05200000000002</v>
      </c>
      <c r="AH259" s="66">
        <f t="shared" ref="AH259:AH261" si="289">+W259-AD259</f>
        <v>-1630.07</v>
      </c>
      <c r="AI259" s="66">
        <f t="shared" ref="AI259:AI261" si="290">+W259-AE259</f>
        <v>-67.3</v>
      </c>
      <c r="AK259" s="66">
        <f t="shared" ref="AK259:AK261" si="291">+Y259-AC259</f>
        <v>-670.05200000000002</v>
      </c>
      <c r="AL259" s="66">
        <f t="shared" ref="AL259:AL261" si="292">+Y259-AD259</f>
        <v>-1330.07</v>
      </c>
      <c r="AM259" s="66">
        <f t="shared" ref="AM259:AM261" si="293">+Y259-AE259</f>
        <v>232.7</v>
      </c>
    </row>
    <row r="260" spans="1:39" s="5" customFormat="1" x14ac:dyDescent="0.2">
      <c r="A260" s="64"/>
      <c r="B260" s="64"/>
      <c r="C260" s="64"/>
      <c r="D260" s="64"/>
      <c r="E260" s="64"/>
      <c r="F260" s="64"/>
      <c r="G260" s="64" t="s">
        <v>271</v>
      </c>
      <c r="H260" s="66"/>
      <c r="I260" s="66"/>
      <c r="J260" s="66"/>
      <c r="K260" s="66"/>
      <c r="L260" s="66"/>
      <c r="M260" s="66"/>
      <c r="N260" s="66"/>
      <c r="O260" s="66"/>
      <c r="P260" s="66"/>
      <c r="Q260" s="66">
        <v>123.24</v>
      </c>
      <c r="R260" s="66"/>
      <c r="S260" s="26">
        <v>0</v>
      </c>
      <c r="T260" s="26"/>
      <c r="U260" s="26"/>
      <c r="V260" s="26"/>
      <c r="W260" s="26">
        <v>0</v>
      </c>
      <c r="X260" s="26"/>
      <c r="Y260" s="26">
        <v>150</v>
      </c>
      <c r="AA260" s="26">
        <v>0</v>
      </c>
      <c r="AC260" s="66">
        <f t="shared" si="287"/>
        <v>61.62</v>
      </c>
      <c r="AD260" s="66">
        <f>MAX(K260:S260)</f>
        <v>123.24</v>
      </c>
      <c r="AE260" s="66">
        <f>MIN(K260:S260)</f>
        <v>0</v>
      </c>
      <c r="AG260" s="66">
        <f t="shared" si="288"/>
        <v>-61.62</v>
      </c>
      <c r="AH260" s="66">
        <f t="shared" si="289"/>
        <v>-123.24</v>
      </c>
      <c r="AI260" s="66">
        <f t="shared" si="290"/>
        <v>0</v>
      </c>
      <c r="AK260" s="66">
        <f t="shared" si="291"/>
        <v>88.38</v>
      </c>
      <c r="AL260" s="66">
        <f t="shared" si="292"/>
        <v>26.760000000000005</v>
      </c>
      <c r="AM260" s="66">
        <f t="shared" si="293"/>
        <v>150</v>
      </c>
    </row>
    <row r="261" spans="1:39" s="5" customFormat="1" ht="12" thickBot="1" x14ac:dyDescent="0.25">
      <c r="A261" s="64"/>
      <c r="B261" s="64"/>
      <c r="C261" s="64"/>
      <c r="D261" s="64"/>
      <c r="E261" s="64"/>
      <c r="F261" s="64"/>
      <c r="G261" s="64" t="s">
        <v>272</v>
      </c>
      <c r="H261" s="66"/>
      <c r="I261" s="71"/>
      <c r="J261" s="66"/>
      <c r="K261" s="71"/>
      <c r="L261" s="66"/>
      <c r="M261" s="71"/>
      <c r="N261" s="66"/>
      <c r="O261" s="71">
        <v>335.98</v>
      </c>
      <c r="P261" s="71"/>
      <c r="Q261" s="71">
        <v>104</v>
      </c>
      <c r="R261" s="71"/>
      <c r="S261" s="35">
        <v>522.17999999999995</v>
      </c>
      <c r="T261" s="29"/>
      <c r="U261" s="29"/>
      <c r="V261" s="26"/>
      <c r="W261" s="35">
        <v>0</v>
      </c>
      <c r="X261" s="26"/>
      <c r="Y261" s="35">
        <v>300</v>
      </c>
      <c r="AA261" s="35">
        <v>1000</v>
      </c>
      <c r="AC261" s="71">
        <f t="shared" si="287"/>
        <v>320.71999999999997</v>
      </c>
      <c r="AD261" s="71">
        <f>MAX(K261:S261)</f>
        <v>522.17999999999995</v>
      </c>
      <c r="AE261" s="71">
        <f>MIN(K261:S261)</f>
        <v>104</v>
      </c>
      <c r="AG261" s="71">
        <f t="shared" si="288"/>
        <v>-320.71999999999997</v>
      </c>
      <c r="AH261" s="71">
        <f t="shared" si="289"/>
        <v>-522.17999999999995</v>
      </c>
      <c r="AI261" s="71">
        <f t="shared" si="290"/>
        <v>-104</v>
      </c>
      <c r="AK261" s="71">
        <f t="shared" si="291"/>
        <v>-20.71999999999997</v>
      </c>
      <c r="AL261" s="71">
        <f t="shared" si="292"/>
        <v>-222.17999999999995</v>
      </c>
      <c r="AM261" s="71">
        <f t="shared" si="293"/>
        <v>196</v>
      </c>
    </row>
    <row r="262" spans="1:39" s="5" customFormat="1" x14ac:dyDescent="0.2">
      <c r="A262" s="64"/>
      <c r="B262" s="64"/>
      <c r="C262" s="64"/>
      <c r="D262" s="64"/>
      <c r="E262" s="64"/>
      <c r="F262" s="64" t="s">
        <v>273</v>
      </c>
      <c r="G262" s="64"/>
      <c r="H262" s="66"/>
      <c r="I262" s="66">
        <f>ROUND(SUM(I258:I261),5)</f>
        <v>1826</v>
      </c>
      <c r="J262" s="66"/>
      <c r="K262" s="66">
        <f>ROUND(SUM(K258:K261),5)</f>
        <v>1543</v>
      </c>
      <c r="L262" s="66"/>
      <c r="M262" s="66">
        <f>ROUND(SUM(M258:M261),5)</f>
        <v>1339</v>
      </c>
      <c r="N262" s="66"/>
      <c r="O262" s="66">
        <f>ROUND(SUM(O258:O261),5)</f>
        <v>1966.05</v>
      </c>
      <c r="P262" s="66"/>
      <c r="Q262" s="66">
        <f>ROUND(SUM(Q258:Q261),5)</f>
        <v>294.54000000000002</v>
      </c>
      <c r="R262" s="66"/>
      <c r="S262" s="26">
        <f>ROUND(SUM(S258:S261),5)</f>
        <v>793.07</v>
      </c>
      <c r="T262" s="26"/>
      <c r="U262" s="26"/>
      <c r="V262" s="26"/>
      <c r="W262" s="26">
        <f>ROUND(SUM(W258:W261),5)</f>
        <v>0</v>
      </c>
      <c r="X262" s="26"/>
      <c r="Y262" s="26">
        <f>ROUND(SUM(Y258:Y261),5)</f>
        <v>750</v>
      </c>
      <c r="AA262" s="26">
        <f>ROUND(SUM(AA258:AA261),5)</f>
        <v>1750</v>
      </c>
      <c r="AC262" s="66">
        <f t="shared" ref="AC262:AE262" si="294">ROUND(SUM(AC258:AC261),5)</f>
        <v>1352.3920000000001</v>
      </c>
      <c r="AD262" s="66">
        <f t="shared" si="294"/>
        <v>2275.4899999999998</v>
      </c>
      <c r="AE262" s="66">
        <f t="shared" si="294"/>
        <v>171.3</v>
      </c>
      <c r="AG262" s="66">
        <f t="shared" ref="AG262:AI262" si="295">ROUND(SUM(AG258:AG261),5)</f>
        <v>-1352.3920000000001</v>
      </c>
      <c r="AH262" s="66">
        <f t="shared" si="295"/>
        <v>-2275.4899999999998</v>
      </c>
      <c r="AI262" s="66">
        <f t="shared" si="295"/>
        <v>-171.3</v>
      </c>
      <c r="AK262" s="66">
        <f t="shared" ref="AK262:AM262" si="296">ROUND(SUM(AK258:AK261),5)</f>
        <v>-602.39200000000005</v>
      </c>
      <c r="AL262" s="66">
        <f t="shared" si="296"/>
        <v>-1525.49</v>
      </c>
      <c r="AM262" s="66">
        <f t="shared" si="296"/>
        <v>578.70000000000005</v>
      </c>
    </row>
    <row r="263" spans="1:39" s="5" customFormat="1" x14ac:dyDescent="0.2">
      <c r="A263" s="64"/>
      <c r="B263" s="64"/>
      <c r="C263" s="64"/>
      <c r="D263" s="64"/>
      <c r="E263" s="64"/>
      <c r="F263" s="64" t="s">
        <v>274</v>
      </c>
      <c r="G263" s="64"/>
      <c r="H263" s="66"/>
      <c r="I263" s="66"/>
      <c r="J263" s="66"/>
      <c r="K263" s="66"/>
      <c r="L263" s="66"/>
      <c r="M263" s="66"/>
      <c r="N263" s="66"/>
      <c r="O263" s="66"/>
      <c r="P263" s="66"/>
      <c r="Q263" s="66"/>
      <c r="R263" s="66"/>
      <c r="S263" s="26"/>
      <c r="T263" s="26"/>
      <c r="U263" s="26"/>
      <c r="V263" s="26"/>
      <c r="W263" s="26"/>
      <c r="X263" s="26"/>
      <c r="Y263" s="26"/>
      <c r="AA263" s="26"/>
      <c r="AC263" s="66"/>
      <c r="AD263" s="66"/>
      <c r="AE263" s="66"/>
      <c r="AG263" s="66"/>
      <c r="AH263" s="66"/>
      <c r="AI263" s="66"/>
      <c r="AK263" s="66"/>
      <c r="AL263" s="66"/>
      <c r="AM263" s="66"/>
    </row>
    <row r="264" spans="1:39" s="5" customFormat="1" x14ac:dyDescent="0.2">
      <c r="A264" s="64"/>
      <c r="B264" s="64"/>
      <c r="C264" s="64"/>
      <c r="D264" s="64"/>
      <c r="E264" s="64"/>
      <c r="F264" s="64"/>
      <c r="G264" s="64" t="s">
        <v>275</v>
      </c>
      <c r="H264" s="66"/>
      <c r="I264" s="66"/>
      <c r="J264" s="66"/>
      <c r="K264" s="66"/>
      <c r="L264" s="66"/>
      <c r="M264" s="66"/>
      <c r="N264" s="66"/>
      <c r="O264" s="66"/>
      <c r="P264" s="66"/>
      <c r="Q264" s="66">
        <v>3736.38</v>
      </c>
      <c r="R264" s="66"/>
      <c r="S264" s="26">
        <v>6050.81</v>
      </c>
      <c r="T264" s="26"/>
      <c r="U264" s="26"/>
      <c r="V264" s="26"/>
      <c r="W264" s="26">
        <v>1361.46</v>
      </c>
      <c r="X264" s="26"/>
      <c r="Y264" s="26">
        <v>5000</v>
      </c>
      <c r="AA264" s="26"/>
      <c r="AC264" s="66">
        <f t="shared" ref="AC264:AC271" si="297">AVERAGE(K264:S264)</f>
        <v>4893.5950000000003</v>
      </c>
      <c r="AD264" s="66">
        <f>MAX(K264:S264)</f>
        <v>6050.81</v>
      </c>
      <c r="AE264" s="66">
        <f>MIN(K264:S264)</f>
        <v>3736.38</v>
      </c>
      <c r="AG264" s="66">
        <f t="shared" ref="AG264:AG271" si="298">+W264-AC264</f>
        <v>-3532.1350000000002</v>
      </c>
      <c r="AH264" s="66">
        <f t="shared" ref="AH264:AH271" si="299">+W264-AD264</f>
        <v>-4689.3500000000004</v>
      </c>
      <c r="AI264" s="66">
        <f t="shared" ref="AI264:AI271" si="300">+W264-AE264</f>
        <v>-2374.92</v>
      </c>
      <c r="AK264" s="66">
        <f t="shared" ref="AK264:AK271" si="301">+Y264-AC264</f>
        <v>106.40499999999975</v>
      </c>
      <c r="AL264" s="66">
        <f t="shared" ref="AL264:AL271" si="302">+Y264-AD264</f>
        <v>-1050.8100000000004</v>
      </c>
      <c r="AM264" s="66">
        <f t="shared" ref="AM264:AM271" si="303">+Y264-AE264</f>
        <v>1263.6199999999999</v>
      </c>
    </row>
    <row r="265" spans="1:39" s="5" customFormat="1" x14ac:dyDescent="0.2">
      <c r="A265" s="64"/>
      <c r="B265" s="64"/>
      <c r="C265" s="64"/>
      <c r="D265" s="64"/>
      <c r="E265" s="64"/>
      <c r="F265" s="64"/>
      <c r="G265" s="64" t="s">
        <v>276</v>
      </c>
      <c r="H265" s="66"/>
      <c r="I265" s="66"/>
      <c r="J265" s="66"/>
      <c r="K265" s="66"/>
      <c r="L265" s="66"/>
      <c r="M265" s="66"/>
      <c r="N265" s="66"/>
      <c r="O265" s="66"/>
      <c r="P265" s="66"/>
      <c r="Q265" s="66"/>
      <c r="R265" s="66"/>
      <c r="S265" s="26">
        <v>68.58</v>
      </c>
      <c r="T265" s="26"/>
      <c r="U265" s="26"/>
      <c r="V265" s="26"/>
      <c r="W265" s="26">
        <v>228.6</v>
      </c>
      <c r="X265" s="26"/>
      <c r="Y265" s="26"/>
      <c r="AA265" s="26">
        <v>500</v>
      </c>
      <c r="AC265" s="66">
        <f t="shared" si="297"/>
        <v>68.58</v>
      </c>
      <c r="AD265" s="66"/>
      <c r="AE265" s="66"/>
      <c r="AG265" s="66"/>
      <c r="AH265" s="66"/>
      <c r="AI265" s="66"/>
      <c r="AK265" s="66"/>
      <c r="AL265" s="66"/>
      <c r="AM265" s="66"/>
    </row>
    <row r="266" spans="1:39" s="5" customFormat="1" x14ac:dyDescent="0.2">
      <c r="A266" s="64"/>
      <c r="B266" s="64"/>
      <c r="C266" s="64"/>
      <c r="D266" s="64"/>
      <c r="E266" s="64"/>
      <c r="F266" s="64"/>
      <c r="G266" s="64" t="s">
        <v>277</v>
      </c>
      <c r="H266" s="66"/>
      <c r="I266" s="66">
        <v>2631</v>
      </c>
      <c r="J266" s="66"/>
      <c r="K266" s="66">
        <v>2276</v>
      </c>
      <c r="L266" s="66"/>
      <c r="M266" s="66">
        <v>2140</v>
      </c>
      <c r="N266" s="66"/>
      <c r="O266" s="66">
        <v>1587.37</v>
      </c>
      <c r="P266" s="66"/>
      <c r="Q266" s="66">
        <v>1608.74</v>
      </c>
      <c r="R266" s="66"/>
      <c r="S266" s="26">
        <v>0</v>
      </c>
      <c r="T266" s="26"/>
      <c r="U266" s="26"/>
      <c r="V266" s="26"/>
      <c r="W266" s="26"/>
      <c r="X266" s="26"/>
      <c r="Y266" s="26">
        <v>0</v>
      </c>
      <c r="AA266" s="26"/>
      <c r="AC266" s="66">
        <f t="shared" si="297"/>
        <v>1522.422</v>
      </c>
      <c r="AD266" s="66">
        <f t="shared" ref="AD266:AD271" si="304">MAX(K266:S266)</f>
        <v>2276</v>
      </c>
      <c r="AE266" s="66">
        <f t="shared" ref="AE266:AE271" si="305">MIN(K266:S266)</f>
        <v>0</v>
      </c>
      <c r="AG266" s="66">
        <f t="shared" si="298"/>
        <v>-1522.422</v>
      </c>
      <c r="AH266" s="66">
        <f t="shared" si="299"/>
        <v>-2276</v>
      </c>
      <c r="AI266" s="66">
        <f t="shared" si="300"/>
        <v>0</v>
      </c>
      <c r="AK266" s="66">
        <f t="shared" si="301"/>
        <v>-1522.422</v>
      </c>
      <c r="AL266" s="66">
        <f t="shared" si="302"/>
        <v>-2276</v>
      </c>
      <c r="AM266" s="66">
        <f t="shared" si="303"/>
        <v>0</v>
      </c>
    </row>
    <row r="267" spans="1:39" s="5" customFormat="1" x14ac:dyDescent="0.2">
      <c r="A267" s="64"/>
      <c r="B267" s="64"/>
      <c r="C267" s="64"/>
      <c r="D267" s="64"/>
      <c r="E267" s="64"/>
      <c r="F267" s="64"/>
      <c r="G267" s="64" t="s">
        <v>278</v>
      </c>
      <c r="H267" s="66"/>
      <c r="I267" s="66"/>
      <c r="J267" s="66"/>
      <c r="K267" s="66"/>
      <c r="L267" s="66"/>
      <c r="M267" s="66"/>
      <c r="N267" s="66"/>
      <c r="O267" s="66"/>
      <c r="P267" s="66"/>
      <c r="Q267" s="66">
        <v>45</v>
      </c>
      <c r="R267" s="66"/>
      <c r="S267" s="26">
        <v>0</v>
      </c>
      <c r="T267" s="26"/>
      <c r="U267" s="26"/>
      <c r="V267" s="26"/>
      <c r="W267" s="26">
        <v>0</v>
      </c>
      <c r="X267" s="26"/>
      <c r="Y267" s="26">
        <v>50</v>
      </c>
      <c r="AA267" s="26"/>
      <c r="AC267" s="66">
        <f t="shared" si="297"/>
        <v>22.5</v>
      </c>
      <c r="AD267" s="66">
        <f t="shared" si="304"/>
        <v>45</v>
      </c>
      <c r="AE267" s="66">
        <f t="shared" si="305"/>
        <v>0</v>
      </c>
      <c r="AG267" s="66">
        <f t="shared" si="298"/>
        <v>-22.5</v>
      </c>
      <c r="AH267" s="66">
        <f t="shared" si="299"/>
        <v>-45</v>
      </c>
      <c r="AI267" s="66">
        <f t="shared" si="300"/>
        <v>0</v>
      </c>
      <c r="AK267" s="66">
        <f t="shared" si="301"/>
        <v>27.5</v>
      </c>
      <c r="AL267" s="66">
        <f t="shared" si="302"/>
        <v>5</v>
      </c>
      <c r="AM267" s="66">
        <f t="shared" si="303"/>
        <v>50</v>
      </c>
    </row>
    <row r="268" spans="1:39" s="5" customFormat="1" x14ac:dyDescent="0.2">
      <c r="A268" s="64"/>
      <c r="B268" s="64"/>
      <c r="C268" s="64"/>
      <c r="D268" s="64"/>
      <c r="E268" s="64"/>
      <c r="F268" s="64"/>
      <c r="G268" s="64" t="s">
        <v>279</v>
      </c>
      <c r="H268" s="66"/>
      <c r="I268" s="66"/>
      <c r="J268" s="66"/>
      <c r="K268" s="66"/>
      <c r="L268" s="66"/>
      <c r="M268" s="66"/>
      <c r="N268" s="66"/>
      <c r="O268" s="66"/>
      <c r="P268" s="66"/>
      <c r="Q268" s="66">
        <v>2084.61</v>
      </c>
      <c r="R268" s="66"/>
      <c r="S268" s="26">
        <v>3888.73</v>
      </c>
      <c r="T268" s="26"/>
      <c r="U268" s="26"/>
      <c r="V268" s="26"/>
      <c r="W268" s="26">
        <v>0</v>
      </c>
      <c r="X268" s="26"/>
      <c r="Y268" s="26">
        <v>3500</v>
      </c>
      <c r="AA268" s="26">
        <v>1000</v>
      </c>
      <c r="AC268" s="66">
        <f t="shared" si="297"/>
        <v>2986.67</v>
      </c>
      <c r="AD268" s="66">
        <f t="shared" si="304"/>
        <v>3888.73</v>
      </c>
      <c r="AE268" s="66">
        <f t="shared" si="305"/>
        <v>2084.61</v>
      </c>
      <c r="AG268" s="66">
        <f t="shared" si="298"/>
        <v>-2986.67</v>
      </c>
      <c r="AH268" s="66">
        <f t="shared" si="299"/>
        <v>-3888.73</v>
      </c>
      <c r="AI268" s="66">
        <f t="shared" si="300"/>
        <v>-2084.61</v>
      </c>
      <c r="AK268" s="66">
        <f t="shared" si="301"/>
        <v>513.32999999999993</v>
      </c>
      <c r="AL268" s="66">
        <f t="shared" si="302"/>
        <v>-388.73</v>
      </c>
      <c r="AM268" s="66">
        <f t="shared" si="303"/>
        <v>1415.3899999999999</v>
      </c>
    </row>
    <row r="269" spans="1:39" s="5" customFormat="1" x14ac:dyDescent="0.2">
      <c r="A269" s="64"/>
      <c r="B269" s="64"/>
      <c r="C269" s="64"/>
      <c r="D269" s="64"/>
      <c r="E269" s="64"/>
      <c r="F269" s="64"/>
      <c r="G269" s="64" t="s">
        <v>280</v>
      </c>
      <c r="H269" s="66"/>
      <c r="I269" s="66">
        <v>1164</v>
      </c>
      <c r="J269" s="66"/>
      <c r="K269" s="66">
        <v>1263</v>
      </c>
      <c r="L269" s="66"/>
      <c r="M269" s="66">
        <v>1717</v>
      </c>
      <c r="N269" s="66"/>
      <c r="O269" s="66">
        <v>7109.5</v>
      </c>
      <c r="P269" s="66"/>
      <c r="Q269" s="66">
        <v>8086.47</v>
      </c>
      <c r="R269" s="66"/>
      <c r="S269" s="26">
        <v>6378.71</v>
      </c>
      <c r="T269" s="26"/>
      <c r="U269" s="26"/>
      <c r="V269" s="26"/>
      <c r="W269" s="26">
        <v>5595.67</v>
      </c>
      <c r="X269" s="26"/>
      <c r="Y269" s="26">
        <v>5000</v>
      </c>
      <c r="AA269" s="26">
        <v>5000</v>
      </c>
      <c r="AC269" s="66">
        <f t="shared" si="297"/>
        <v>4910.9359999999997</v>
      </c>
      <c r="AD269" s="66">
        <f t="shared" si="304"/>
        <v>8086.47</v>
      </c>
      <c r="AE269" s="66">
        <f t="shared" si="305"/>
        <v>1263</v>
      </c>
      <c r="AG269" s="66">
        <f t="shared" si="298"/>
        <v>684.73400000000038</v>
      </c>
      <c r="AH269" s="66">
        <f t="shared" si="299"/>
        <v>-2490.8000000000002</v>
      </c>
      <c r="AI269" s="66">
        <f t="shared" si="300"/>
        <v>4332.67</v>
      </c>
      <c r="AK269" s="66">
        <f t="shared" si="301"/>
        <v>89.064000000000306</v>
      </c>
      <c r="AL269" s="66">
        <f t="shared" si="302"/>
        <v>-3086.4700000000003</v>
      </c>
      <c r="AM269" s="66">
        <f t="shared" si="303"/>
        <v>3737</v>
      </c>
    </row>
    <row r="270" spans="1:39" s="5" customFormat="1" x14ac:dyDescent="0.2">
      <c r="A270" s="64"/>
      <c r="B270" s="64"/>
      <c r="C270" s="64"/>
      <c r="D270" s="64"/>
      <c r="E270" s="64"/>
      <c r="F270" s="64"/>
      <c r="G270" s="64" t="s">
        <v>281</v>
      </c>
      <c r="H270" s="66"/>
      <c r="I270" s="66">
        <v>760</v>
      </c>
      <c r="J270" s="66"/>
      <c r="K270" s="66">
        <v>1085</v>
      </c>
      <c r="L270" s="66"/>
      <c r="M270" s="66">
        <v>95</v>
      </c>
      <c r="N270" s="66"/>
      <c r="O270" s="66">
        <v>15352.44</v>
      </c>
      <c r="P270" s="66"/>
      <c r="Q270" s="66">
        <v>1743.31</v>
      </c>
      <c r="R270" s="66"/>
      <c r="S270" s="26">
        <v>3029.22</v>
      </c>
      <c r="T270" s="26"/>
      <c r="U270" s="26"/>
      <c r="V270" s="26"/>
      <c r="W270" s="26">
        <v>2375.11</v>
      </c>
      <c r="X270" s="26"/>
      <c r="Y270" s="26">
        <v>1500</v>
      </c>
      <c r="AA270" s="26">
        <v>1500</v>
      </c>
      <c r="AC270" s="26">
        <f t="shared" si="297"/>
        <v>4260.9940000000006</v>
      </c>
      <c r="AD270" s="26">
        <f t="shared" si="304"/>
        <v>15352.44</v>
      </c>
      <c r="AE270" s="26">
        <f t="shared" si="305"/>
        <v>95</v>
      </c>
      <c r="AG270" s="26">
        <f t="shared" si="298"/>
        <v>-1885.8840000000005</v>
      </c>
      <c r="AH270" s="26">
        <f t="shared" si="299"/>
        <v>-12977.33</v>
      </c>
      <c r="AI270" s="26">
        <f t="shared" si="300"/>
        <v>2280.11</v>
      </c>
      <c r="AK270" s="66">
        <f t="shared" si="301"/>
        <v>-2760.9940000000006</v>
      </c>
      <c r="AL270" s="66">
        <f t="shared" si="302"/>
        <v>-13852.44</v>
      </c>
      <c r="AM270" s="66">
        <f t="shared" si="303"/>
        <v>1405</v>
      </c>
    </row>
    <row r="271" spans="1:39" s="5" customFormat="1" ht="12" thickBot="1" x14ac:dyDescent="0.25">
      <c r="A271" s="64"/>
      <c r="B271" s="64"/>
      <c r="C271" s="64"/>
      <c r="D271" s="64"/>
      <c r="E271" s="64"/>
      <c r="F271" s="64"/>
      <c r="G271" s="64" t="s">
        <v>282</v>
      </c>
      <c r="H271" s="66"/>
      <c r="I271" s="69"/>
      <c r="J271" s="66"/>
      <c r="K271" s="69"/>
      <c r="L271" s="66"/>
      <c r="M271" s="69"/>
      <c r="N271" s="66"/>
      <c r="O271" s="69"/>
      <c r="P271" s="69"/>
      <c r="Q271" s="66">
        <v>1989.83</v>
      </c>
      <c r="R271" s="66"/>
      <c r="S271" s="26">
        <v>578.9</v>
      </c>
      <c r="T271" s="29"/>
      <c r="U271" s="29"/>
      <c r="V271" s="26"/>
      <c r="W271" s="26">
        <v>130</v>
      </c>
      <c r="X271" s="26"/>
      <c r="Y271" s="29">
        <v>600</v>
      </c>
      <c r="AA271" s="29">
        <v>2000</v>
      </c>
      <c r="AC271" s="29">
        <f t="shared" si="297"/>
        <v>1284.365</v>
      </c>
      <c r="AD271" s="29">
        <f t="shared" si="304"/>
        <v>1989.83</v>
      </c>
      <c r="AE271" s="29">
        <f t="shared" si="305"/>
        <v>578.9</v>
      </c>
      <c r="AG271" s="29">
        <f t="shared" si="298"/>
        <v>-1154.365</v>
      </c>
      <c r="AH271" s="29">
        <f t="shared" si="299"/>
        <v>-1859.83</v>
      </c>
      <c r="AI271" s="29">
        <f t="shared" si="300"/>
        <v>-448.9</v>
      </c>
      <c r="AK271" s="69">
        <f t="shared" si="301"/>
        <v>-684.36500000000001</v>
      </c>
      <c r="AL271" s="69">
        <f t="shared" si="302"/>
        <v>-1389.83</v>
      </c>
      <c r="AM271" s="69">
        <f t="shared" si="303"/>
        <v>21.100000000000023</v>
      </c>
    </row>
    <row r="272" spans="1:39" s="5" customFormat="1" ht="12" thickBot="1" x14ac:dyDescent="0.25">
      <c r="A272" s="64"/>
      <c r="B272" s="64"/>
      <c r="C272" s="64"/>
      <c r="D272" s="64"/>
      <c r="E272" s="64"/>
      <c r="F272" s="64" t="s">
        <v>283</v>
      </c>
      <c r="G272" s="64"/>
      <c r="H272" s="66"/>
      <c r="I272" s="70">
        <f>ROUND(SUM(I263:I271),5)</f>
        <v>4555</v>
      </c>
      <c r="J272" s="66"/>
      <c r="K272" s="70">
        <f>ROUND(SUM(K263:K271),5)</f>
        <v>4624</v>
      </c>
      <c r="L272" s="66"/>
      <c r="M272" s="70">
        <f>ROUND(SUM(M263:M271),5)</f>
        <v>3952</v>
      </c>
      <c r="N272" s="66"/>
      <c r="O272" s="70">
        <f>ROUND(SUM(O263:O271),5)</f>
        <v>24049.31</v>
      </c>
      <c r="P272" s="70"/>
      <c r="Q272" s="70">
        <f>ROUND(SUM(Q263:Q271),5)</f>
        <v>19294.34</v>
      </c>
      <c r="R272" s="70"/>
      <c r="S272" s="32">
        <f>ROUND(SUM(S263:S271),5)</f>
        <v>19994.95</v>
      </c>
      <c r="T272" s="29"/>
      <c r="U272" s="29"/>
      <c r="V272" s="26"/>
      <c r="W272" s="32">
        <f>ROUND(SUM(W263:W271),5)</f>
        <v>9690.84</v>
      </c>
      <c r="X272" s="26"/>
      <c r="Y272" s="32">
        <f>ROUND(SUM(Y263:Y271),5)</f>
        <v>15650</v>
      </c>
      <c r="AA272" s="32">
        <f>ROUND(SUM(AA263:AA271),5)</f>
        <v>10000</v>
      </c>
      <c r="AC272" s="75">
        <f>ROUND(SUM(AC263:AC271),5)</f>
        <v>19950.062000000002</v>
      </c>
      <c r="AD272" s="75">
        <f>ROUND(SUM(AD263:AD271),5)</f>
        <v>37689.279999999999</v>
      </c>
      <c r="AE272" s="75">
        <f>ROUND(SUM(AE263:AE271),5)</f>
        <v>7757.89</v>
      </c>
      <c r="AG272" s="75">
        <f>ROUND(SUM(AG263:AG271),5)</f>
        <v>-10419.242</v>
      </c>
      <c r="AH272" s="75">
        <f>ROUND(SUM(AH263:AH271),5)</f>
        <v>-28227.040000000001</v>
      </c>
      <c r="AI272" s="75">
        <f>ROUND(SUM(AI263:AI271),5)</f>
        <v>1704.35</v>
      </c>
      <c r="AK272" s="70">
        <f>ROUND(SUM(AK263:AK271),5)</f>
        <v>-4231.482</v>
      </c>
      <c r="AL272" s="70">
        <f>ROUND(SUM(AL263:AL271),5)</f>
        <v>-22039.279999999999</v>
      </c>
      <c r="AM272" s="70">
        <f>ROUND(SUM(AM263:AM271),5)</f>
        <v>7892.11</v>
      </c>
    </row>
    <row r="273" spans="1:39" s="5" customFormat="1" x14ac:dyDescent="0.2">
      <c r="A273" s="64"/>
      <c r="B273" s="64"/>
      <c r="C273" s="64"/>
      <c r="D273" s="64"/>
      <c r="E273" s="73" t="s">
        <v>284</v>
      </c>
      <c r="F273" s="64"/>
      <c r="G273" s="64"/>
      <c r="H273" s="66"/>
      <c r="I273" s="66">
        <f>ROUND(I237+I245+I251+I257+I262+I272,5)</f>
        <v>72690</v>
      </c>
      <c r="J273" s="66"/>
      <c r="K273" s="66">
        <f>ROUND(K237+K245+K251+K257+K262+K272,5)</f>
        <v>73788</v>
      </c>
      <c r="L273" s="66"/>
      <c r="M273" s="66">
        <f>ROUND(M237+M245+M251+M257+M262+M272,5)</f>
        <v>76733</v>
      </c>
      <c r="N273" s="66"/>
      <c r="O273" s="66">
        <f>ROUND(O237+O245+O251+O257+O262+O272,5)</f>
        <v>290172.84000000003</v>
      </c>
      <c r="P273" s="66"/>
      <c r="Q273" s="66">
        <f>ROUND(Q237+Q245+Q251+Q257+Q262+Q272,5)</f>
        <v>240966.26</v>
      </c>
      <c r="R273" s="66"/>
      <c r="S273" s="26">
        <f>ROUND(S237+S245+S251+S257+S262+S272,5)</f>
        <v>228580.85</v>
      </c>
      <c r="T273" s="26"/>
      <c r="U273" s="26"/>
      <c r="V273" s="26"/>
      <c r="W273" s="26">
        <f>ROUND(W237+W245+W251+W257+W262+W272,5)</f>
        <v>145088.74</v>
      </c>
      <c r="X273" s="26"/>
      <c r="Y273" s="26">
        <f>ROUND(Y237+Y245+Y251+Y257+Y262+Y272,5)</f>
        <v>245635</v>
      </c>
      <c r="AA273" s="26">
        <f>ROUND(AA237+AA245+AA251+AA257+AA262+AA272,5)</f>
        <v>240164.54199999999</v>
      </c>
      <c r="AC273" s="76">
        <f>ROUND(AC237+AC245+AC251+AC257+AC262+AC272,5)</f>
        <v>239544.12299999999</v>
      </c>
      <c r="AD273" s="76">
        <f>ROUND(AD237+AD245+AD251+AD257+AD262+AD272,5)</f>
        <v>413603.05</v>
      </c>
      <c r="AE273" s="76">
        <f>ROUND(AE237+AE245+AE251+AE257+AE262+AE272,5)</f>
        <v>143077.14000000001</v>
      </c>
      <c r="AG273" s="76">
        <f>ROUND(AG237+AG245+AG251+AG257+AG262+AG272,5)</f>
        <v>-94615.403000000006</v>
      </c>
      <c r="AH273" s="76">
        <f>ROUND(AH237+AH245+AH251+AH257+AH262+AH272,5)</f>
        <v>-268742.90999999997</v>
      </c>
      <c r="AI273" s="76">
        <f>ROUND(AI237+AI245+AI251+AI257+AI262+AI272,5)</f>
        <v>1783</v>
      </c>
      <c r="AK273" s="66">
        <f>ROUND(AK237+AK245+AK251+AK257+AK262+AK272,5)</f>
        <v>6147.4570000000003</v>
      </c>
      <c r="AL273" s="66">
        <f>ROUND(AL237+AL245+AL251+AL257+AL262+AL272,5)</f>
        <v>-168168.05</v>
      </c>
      <c r="AM273" s="66">
        <f>ROUND(AM237+AM245+AM251+AM257+AM262+AM272,5)</f>
        <v>102357.86</v>
      </c>
    </row>
    <row r="274" spans="1:39" s="5" customFormat="1" x14ac:dyDescent="0.2">
      <c r="A274" s="64"/>
      <c r="B274" s="64"/>
      <c r="C274" s="64"/>
      <c r="D274" s="64"/>
      <c r="E274" s="64"/>
      <c r="F274" s="64"/>
      <c r="G274" s="64"/>
      <c r="H274" s="66"/>
      <c r="I274" s="66"/>
      <c r="J274" s="66"/>
      <c r="K274" s="66"/>
      <c r="L274" s="66"/>
      <c r="M274" s="66"/>
      <c r="N274" s="66"/>
      <c r="O274" s="66"/>
      <c r="P274" s="66"/>
      <c r="Q274" s="66"/>
      <c r="R274" s="66"/>
      <c r="S274" s="26"/>
      <c r="T274" s="26"/>
      <c r="U274" s="26"/>
      <c r="V274" s="26"/>
      <c r="W274" s="26"/>
      <c r="X274" s="26"/>
      <c r="Y274" s="26"/>
      <c r="AA274" s="26"/>
      <c r="AC274" s="66"/>
      <c r="AD274" s="66"/>
      <c r="AE274" s="66"/>
      <c r="AG274" s="66"/>
      <c r="AH274" s="66"/>
      <c r="AI274" s="66"/>
      <c r="AK274" s="66"/>
      <c r="AL274" s="66"/>
      <c r="AM274" s="66"/>
    </row>
    <row r="275" spans="1:39" s="5" customFormat="1" x14ac:dyDescent="0.2">
      <c r="A275" s="64"/>
      <c r="B275" s="64"/>
      <c r="C275" s="64"/>
      <c r="D275" s="64"/>
      <c r="E275" s="73" t="s">
        <v>285</v>
      </c>
      <c r="F275" s="64"/>
      <c r="G275" s="64"/>
      <c r="H275" s="66"/>
      <c r="I275" s="66"/>
      <c r="J275" s="66"/>
      <c r="K275" s="66"/>
      <c r="L275" s="66"/>
      <c r="M275" s="66"/>
      <c r="N275" s="66"/>
      <c r="O275" s="66"/>
      <c r="P275" s="66"/>
      <c r="Q275" s="66"/>
      <c r="R275" s="66"/>
      <c r="S275" s="26"/>
      <c r="T275" s="26"/>
      <c r="U275" s="26"/>
      <c r="V275" s="26"/>
      <c r="W275" s="26"/>
      <c r="X275" s="26"/>
      <c r="Y275" s="26"/>
      <c r="AA275" s="26"/>
      <c r="AC275" s="66"/>
      <c r="AD275" s="66"/>
      <c r="AE275" s="66"/>
      <c r="AG275" s="66"/>
      <c r="AH275" s="66"/>
      <c r="AI275" s="66"/>
      <c r="AK275" s="66"/>
      <c r="AL275" s="66"/>
      <c r="AM275" s="66"/>
    </row>
    <row r="276" spans="1:39" s="5" customFormat="1" x14ac:dyDescent="0.2">
      <c r="A276" s="64"/>
      <c r="B276" s="64"/>
      <c r="C276" s="64"/>
      <c r="D276" s="64"/>
      <c r="E276" s="64"/>
      <c r="F276" s="64" t="s">
        <v>286</v>
      </c>
      <c r="G276" s="64"/>
      <c r="H276" s="66"/>
      <c r="I276" s="66"/>
      <c r="J276" s="66"/>
      <c r="K276" s="66"/>
      <c r="L276" s="66"/>
      <c r="M276" s="66"/>
      <c r="N276" s="66"/>
      <c r="O276" s="66"/>
      <c r="P276" s="66"/>
      <c r="Q276" s="66"/>
      <c r="R276" s="66"/>
      <c r="S276" s="26"/>
      <c r="T276" s="26"/>
      <c r="U276" s="26"/>
      <c r="V276" s="26"/>
      <c r="W276" s="26"/>
      <c r="X276" s="26"/>
      <c r="Y276" s="26"/>
      <c r="AA276" s="26"/>
      <c r="AC276" s="66"/>
      <c r="AD276" s="66"/>
      <c r="AE276" s="66"/>
      <c r="AG276" s="66"/>
      <c r="AH276" s="66"/>
      <c r="AI276" s="66"/>
      <c r="AK276" s="66"/>
      <c r="AL276" s="66"/>
      <c r="AM276" s="66"/>
    </row>
    <row r="277" spans="1:39" s="5" customFormat="1" x14ac:dyDescent="0.2">
      <c r="A277" s="64"/>
      <c r="B277" s="64"/>
      <c r="C277" s="64"/>
      <c r="D277" s="64"/>
      <c r="E277" s="64"/>
      <c r="F277" s="64"/>
      <c r="G277" s="64" t="s">
        <v>287</v>
      </c>
      <c r="H277" s="66"/>
      <c r="I277" s="66"/>
      <c r="J277" s="66"/>
      <c r="K277" s="66"/>
      <c r="L277" s="66"/>
      <c r="M277" s="66"/>
      <c r="N277" s="66"/>
      <c r="O277" s="66"/>
      <c r="P277" s="66"/>
      <c r="Q277" s="66">
        <v>55877.64</v>
      </c>
      <c r="R277" s="66"/>
      <c r="S277" s="26">
        <v>49628.800000000003</v>
      </c>
      <c r="T277" s="26"/>
      <c r="U277" s="26"/>
      <c r="V277" s="26"/>
      <c r="W277" s="26">
        <v>41492.160000000003</v>
      </c>
      <c r="X277" s="26"/>
      <c r="Y277" s="26">
        <v>51371</v>
      </c>
      <c r="AA277" s="26">
        <v>53000</v>
      </c>
      <c r="AC277" s="26">
        <f t="shared" ref="AC277:AC281" si="306">AVERAGE(K277:S277)</f>
        <v>52753.22</v>
      </c>
      <c r="AD277" s="26">
        <f>MAX(K277:S277)</f>
        <v>55877.64</v>
      </c>
      <c r="AE277" s="26">
        <f>MIN(K277:S277)</f>
        <v>49628.800000000003</v>
      </c>
      <c r="AG277" s="26">
        <f t="shared" ref="AG277:AG281" si="307">+W277-AC277</f>
        <v>-11261.059999999998</v>
      </c>
      <c r="AH277" s="26">
        <f t="shared" ref="AH277:AH281" si="308">+W277-AD277</f>
        <v>-14385.479999999996</v>
      </c>
      <c r="AI277" s="26">
        <f t="shared" ref="AI277:AI281" si="309">+W277-AE277</f>
        <v>-8136.6399999999994</v>
      </c>
      <c r="AK277" s="66">
        <f t="shared" ref="AK277:AK281" si="310">+Y277-AC277</f>
        <v>-1382.2200000000012</v>
      </c>
      <c r="AL277" s="66">
        <f t="shared" ref="AL277:AL281" si="311">+Y277-AD277</f>
        <v>-4506.6399999999994</v>
      </c>
      <c r="AM277" s="66">
        <f t="shared" ref="AM277:AM281" si="312">+Y277-AE277</f>
        <v>1742.1999999999971</v>
      </c>
    </row>
    <row r="278" spans="1:39" s="5" customFormat="1" x14ac:dyDescent="0.2">
      <c r="A278" s="64"/>
      <c r="B278" s="64"/>
      <c r="C278" s="64"/>
      <c r="D278" s="64"/>
      <c r="E278" s="64"/>
      <c r="F278" s="64"/>
      <c r="G278" s="64" t="s">
        <v>288</v>
      </c>
      <c r="H278" s="66"/>
      <c r="I278" s="66"/>
      <c r="J278" s="66"/>
      <c r="K278" s="66"/>
      <c r="L278" s="66"/>
      <c r="M278" s="66"/>
      <c r="N278" s="66"/>
      <c r="O278" s="66"/>
      <c r="P278" s="66"/>
      <c r="Q278" s="66">
        <v>4593.97</v>
      </c>
      <c r="R278" s="66"/>
      <c r="S278" s="26">
        <v>4191.22</v>
      </c>
      <c r="T278" s="26"/>
      <c r="U278" s="26"/>
      <c r="V278" s="26"/>
      <c r="W278" s="26">
        <v>3369.4</v>
      </c>
      <c r="X278" s="26"/>
      <c r="Y278" s="26">
        <v>3930</v>
      </c>
      <c r="AA278" s="26">
        <f>+AA277*0.0765</f>
        <v>4054.5</v>
      </c>
      <c r="AC278" s="26">
        <f t="shared" si="306"/>
        <v>4392.5950000000003</v>
      </c>
      <c r="AD278" s="26">
        <f>MAX(K278:S278)</f>
        <v>4593.97</v>
      </c>
      <c r="AE278" s="26">
        <f>MIN(K278:S278)</f>
        <v>4191.22</v>
      </c>
      <c r="AG278" s="26">
        <f t="shared" si="307"/>
        <v>-1023.1950000000002</v>
      </c>
      <c r="AH278" s="26">
        <f t="shared" si="308"/>
        <v>-1224.5700000000002</v>
      </c>
      <c r="AI278" s="26">
        <f t="shared" si="309"/>
        <v>-821.82000000000016</v>
      </c>
      <c r="AK278" s="66">
        <f t="shared" si="310"/>
        <v>-462.59500000000025</v>
      </c>
      <c r="AL278" s="66">
        <f t="shared" si="311"/>
        <v>-663.97000000000025</v>
      </c>
      <c r="AM278" s="66">
        <f t="shared" si="312"/>
        <v>-261.22000000000025</v>
      </c>
    </row>
    <row r="279" spans="1:39" s="43" customFormat="1" x14ac:dyDescent="0.2">
      <c r="A279" s="64"/>
      <c r="B279" s="64"/>
      <c r="C279" s="64"/>
      <c r="D279" s="64"/>
      <c r="E279" s="64"/>
      <c r="F279" s="64"/>
      <c r="G279" s="64" t="s">
        <v>289</v>
      </c>
      <c r="H279" s="69"/>
      <c r="I279" s="69"/>
      <c r="J279" s="69"/>
      <c r="K279" s="69"/>
      <c r="L279" s="69"/>
      <c r="M279" s="69"/>
      <c r="N279" s="69"/>
      <c r="O279" s="69"/>
      <c r="P279" s="69"/>
      <c r="Q279" s="66">
        <v>12222.55</v>
      </c>
      <c r="R279" s="66"/>
      <c r="S279" s="26">
        <v>7106.55</v>
      </c>
      <c r="T279" s="29"/>
      <c r="U279" s="29"/>
      <c r="V279" s="29"/>
      <c r="W279" s="26">
        <v>8512.61</v>
      </c>
      <c r="X279" s="29"/>
      <c r="Y279" s="29">
        <v>10215</v>
      </c>
      <c r="AA279" s="29">
        <v>10385</v>
      </c>
      <c r="AC279" s="29">
        <f t="shared" si="306"/>
        <v>9664.5499999999993</v>
      </c>
      <c r="AD279" s="29">
        <f>MAX(K279:S279)</f>
        <v>12222.55</v>
      </c>
      <c r="AE279" s="29">
        <f>MIN(K279:S279)</f>
        <v>7106.55</v>
      </c>
      <c r="AF279" s="5"/>
      <c r="AG279" s="29">
        <f t="shared" si="307"/>
        <v>-1151.9399999999987</v>
      </c>
      <c r="AH279" s="29">
        <f t="shared" si="308"/>
        <v>-3709.9399999999987</v>
      </c>
      <c r="AI279" s="29">
        <f t="shared" si="309"/>
        <v>1406.0600000000004</v>
      </c>
      <c r="AJ279" s="5"/>
      <c r="AK279" s="69">
        <f t="shared" si="310"/>
        <v>550.45000000000073</v>
      </c>
      <c r="AL279" s="69">
        <f t="shared" si="311"/>
        <v>-2007.5499999999993</v>
      </c>
      <c r="AM279" s="69">
        <f t="shared" si="312"/>
        <v>3108.45</v>
      </c>
    </row>
    <row r="280" spans="1:39" s="43" customFormat="1" x14ac:dyDescent="0.2">
      <c r="A280" s="64"/>
      <c r="B280" s="64"/>
      <c r="C280" s="64"/>
      <c r="D280" s="64"/>
      <c r="E280" s="64"/>
      <c r="F280" s="64"/>
      <c r="G280" s="64" t="s">
        <v>290</v>
      </c>
      <c r="H280" s="69"/>
      <c r="I280" s="69"/>
      <c r="J280" s="69"/>
      <c r="K280" s="69"/>
      <c r="L280" s="69"/>
      <c r="M280" s="69"/>
      <c r="N280" s="69"/>
      <c r="O280" s="69"/>
      <c r="P280" s="69"/>
      <c r="Q280" s="66"/>
      <c r="R280" s="66"/>
      <c r="S280" s="29">
        <v>0</v>
      </c>
      <c r="T280" s="29"/>
      <c r="U280" s="29"/>
      <c r="V280" s="29"/>
      <c r="W280" s="29">
        <v>1185.4000000000001</v>
      </c>
      <c r="X280" s="29"/>
      <c r="Y280" s="29">
        <v>1541</v>
      </c>
      <c r="AA280" s="29">
        <v>1572</v>
      </c>
      <c r="AC280" s="29">
        <f t="shared" si="306"/>
        <v>0</v>
      </c>
      <c r="AD280" s="29"/>
      <c r="AE280" s="29"/>
      <c r="AF280" s="5"/>
      <c r="AG280" s="29"/>
      <c r="AH280" s="29"/>
      <c r="AI280" s="29"/>
      <c r="AJ280" s="5"/>
      <c r="AK280" s="69"/>
      <c r="AL280" s="69"/>
      <c r="AM280" s="69"/>
    </row>
    <row r="281" spans="1:39" s="5" customFormat="1" ht="12" thickBot="1" x14ac:dyDescent="0.25">
      <c r="A281" s="64"/>
      <c r="B281" s="64"/>
      <c r="C281" s="64"/>
      <c r="D281" s="64"/>
      <c r="E281" s="64"/>
      <c r="F281" s="64"/>
      <c r="G281" s="64" t="s">
        <v>291</v>
      </c>
      <c r="H281" s="66"/>
      <c r="I281" s="71"/>
      <c r="J281" s="66"/>
      <c r="K281" s="71"/>
      <c r="L281" s="66"/>
      <c r="M281" s="71"/>
      <c r="N281" s="66"/>
      <c r="O281" s="71"/>
      <c r="P281" s="71"/>
      <c r="Q281" s="71">
        <v>0</v>
      </c>
      <c r="R281" s="71"/>
      <c r="S281" s="35">
        <v>449.18</v>
      </c>
      <c r="T281" s="29"/>
      <c r="U281" s="29"/>
      <c r="V281" s="26"/>
      <c r="W281" s="35">
        <v>210.67</v>
      </c>
      <c r="X281" s="26"/>
      <c r="Y281" s="35">
        <v>406</v>
      </c>
      <c r="AA281" s="35">
        <f>+AA277*0.79/100</f>
        <v>418.7</v>
      </c>
      <c r="AC281" s="35">
        <f t="shared" si="306"/>
        <v>224.59</v>
      </c>
      <c r="AD281" s="35">
        <f>MAX(K281:S281)</f>
        <v>449.18</v>
      </c>
      <c r="AE281" s="35">
        <f>MIN(K281:S281)</f>
        <v>0</v>
      </c>
      <c r="AG281" s="35">
        <f t="shared" si="307"/>
        <v>-13.920000000000016</v>
      </c>
      <c r="AH281" s="35">
        <f t="shared" si="308"/>
        <v>-238.51000000000002</v>
      </c>
      <c r="AI281" s="35">
        <f t="shared" si="309"/>
        <v>210.67</v>
      </c>
      <c r="AK281" s="71">
        <f t="shared" si="310"/>
        <v>181.41</v>
      </c>
      <c r="AL281" s="71">
        <f t="shared" si="311"/>
        <v>-43.180000000000007</v>
      </c>
      <c r="AM281" s="71">
        <f t="shared" si="312"/>
        <v>406</v>
      </c>
    </row>
    <row r="282" spans="1:39" s="5" customFormat="1" x14ac:dyDescent="0.2">
      <c r="A282" s="64"/>
      <c r="B282" s="64"/>
      <c r="C282" s="64"/>
      <c r="D282" s="64"/>
      <c r="E282" s="64"/>
      <c r="F282" s="64" t="s">
        <v>292</v>
      </c>
      <c r="G282" s="64"/>
      <c r="H282" s="66"/>
      <c r="I282" s="66">
        <f>ROUND(SUM(I276:I281),5)</f>
        <v>0</v>
      </c>
      <c r="J282" s="66"/>
      <c r="K282" s="66">
        <f>ROUND(SUM(K276:K281),5)</f>
        <v>0</v>
      </c>
      <c r="L282" s="66"/>
      <c r="M282" s="66">
        <f>ROUND(SUM(M276:M281),5)</f>
        <v>0</v>
      </c>
      <c r="N282" s="66"/>
      <c r="O282" s="66">
        <f>ROUND(SUM(O276:O281),5)</f>
        <v>0</v>
      </c>
      <c r="P282" s="66"/>
      <c r="Q282" s="66">
        <f>ROUND(SUM(Q276:Q281),5)</f>
        <v>72694.16</v>
      </c>
      <c r="R282" s="66"/>
      <c r="S282" s="26">
        <f>ROUND(SUM(S276:S281),5)</f>
        <v>61375.75</v>
      </c>
      <c r="T282" s="26"/>
      <c r="U282" s="26"/>
      <c r="V282" s="26"/>
      <c r="W282" s="26">
        <f>ROUND(SUM(W276:W281),5)</f>
        <v>54770.239999999998</v>
      </c>
      <c r="X282" s="26"/>
      <c r="Y282" s="26">
        <f>ROUND(SUM(Y276:Y281),5)</f>
        <v>67463</v>
      </c>
      <c r="AA282" s="26">
        <f>ROUND(SUM(AA276:AA281),5)</f>
        <v>69430.2</v>
      </c>
      <c r="AC282" s="77">
        <f>ROUND(SUM(AC276:AC281),5)</f>
        <v>67034.955000000002</v>
      </c>
      <c r="AD282" s="77">
        <f>ROUND(SUM(AD276:AD281),5)</f>
        <v>73143.34</v>
      </c>
      <c r="AE282" s="77">
        <f>ROUND(SUM(AE276:AE281),5)</f>
        <v>60926.57</v>
      </c>
      <c r="AG282" s="77">
        <f>ROUND(SUM(AG276:AG281),5)</f>
        <v>-13450.115</v>
      </c>
      <c r="AH282" s="77">
        <f>ROUND(SUM(AH276:AH281),5)</f>
        <v>-19558.5</v>
      </c>
      <c r="AI282" s="77">
        <f>ROUND(SUM(AI276:AI281),5)</f>
        <v>-7341.73</v>
      </c>
      <c r="AK282" s="66">
        <f>ROUND(SUM(AK276:AK281),5)</f>
        <v>-1112.9549999999999</v>
      </c>
      <c r="AL282" s="66">
        <f>ROUND(SUM(AL276:AL281),5)</f>
        <v>-7221.34</v>
      </c>
      <c r="AM282" s="66">
        <f>ROUND(SUM(AM276:AM281),5)</f>
        <v>4995.43</v>
      </c>
    </row>
    <row r="283" spans="1:39" s="5" customFormat="1" x14ac:dyDescent="0.2">
      <c r="A283" s="64"/>
      <c r="B283" s="64"/>
      <c r="C283" s="64"/>
      <c r="D283" s="64"/>
      <c r="E283" s="64"/>
      <c r="F283" s="64" t="s">
        <v>293</v>
      </c>
      <c r="G283" s="64"/>
      <c r="H283" s="66"/>
      <c r="I283" s="66"/>
      <c r="J283" s="66"/>
      <c r="K283" s="66"/>
      <c r="L283" s="66"/>
      <c r="M283" s="66"/>
      <c r="N283" s="66"/>
      <c r="O283" s="66"/>
      <c r="P283" s="66"/>
      <c r="Q283" s="66"/>
      <c r="R283" s="66"/>
      <c r="S283" s="26"/>
      <c r="T283" s="26"/>
      <c r="U283" s="26"/>
      <c r="V283" s="26"/>
      <c r="W283" s="26"/>
      <c r="X283" s="26"/>
      <c r="Y283" s="26"/>
      <c r="AA283" s="26"/>
      <c r="AC283" s="66"/>
      <c r="AD283" s="66"/>
      <c r="AE283" s="66"/>
      <c r="AG283" s="66"/>
      <c r="AH283" s="66"/>
      <c r="AI283" s="66"/>
      <c r="AK283" s="66"/>
      <c r="AL283" s="66"/>
      <c r="AM283" s="66"/>
    </row>
    <row r="284" spans="1:39" s="5" customFormat="1" ht="12" thickBot="1" x14ac:dyDescent="0.25">
      <c r="A284" s="64"/>
      <c r="B284" s="64"/>
      <c r="C284" s="64"/>
      <c r="D284" s="64"/>
      <c r="E284" s="64"/>
      <c r="F284" s="64"/>
      <c r="G284" s="64" t="s">
        <v>294</v>
      </c>
      <c r="H284" s="66"/>
      <c r="I284" s="71"/>
      <c r="J284" s="66"/>
      <c r="K284" s="71"/>
      <c r="L284" s="66"/>
      <c r="M284" s="71"/>
      <c r="N284" s="66"/>
      <c r="O284" s="71"/>
      <c r="P284" s="71"/>
      <c r="Q284" s="71">
        <v>1587.55</v>
      </c>
      <c r="R284" s="71"/>
      <c r="S284" s="35">
        <v>635.64</v>
      </c>
      <c r="T284" s="29"/>
      <c r="U284" s="29"/>
      <c r="V284" s="26"/>
      <c r="W284" s="35">
        <v>844.59</v>
      </c>
      <c r="X284" s="26"/>
      <c r="Y284" s="35">
        <v>1500</v>
      </c>
      <c r="AA284" s="35">
        <v>1500</v>
      </c>
      <c r="AC284" s="35">
        <f>AVERAGE(K284:S284)</f>
        <v>1111.595</v>
      </c>
      <c r="AD284" s="35">
        <f>MAX(K284:S284)</f>
        <v>1587.55</v>
      </c>
      <c r="AE284" s="35">
        <f>MIN(K284:S284)</f>
        <v>635.64</v>
      </c>
      <c r="AG284" s="35">
        <f t="shared" ref="AG284" si="313">+W284-AC284</f>
        <v>-267.005</v>
      </c>
      <c r="AH284" s="35">
        <f t="shared" ref="AH284" si="314">+W284-AD284</f>
        <v>-742.95999999999992</v>
      </c>
      <c r="AI284" s="35">
        <f t="shared" ref="AI284" si="315">+W284-AE284</f>
        <v>208.95000000000005</v>
      </c>
      <c r="AK284" s="71">
        <f t="shared" ref="AK284" si="316">+Y284-AC284</f>
        <v>388.40499999999997</v>
      </c>
      <c r="AL284" s="71">
        <f t="shared" ref="AL284" si="317">+Y284-AD284</f>
        <v>-87.549999999999955</v>
      </c>
      <c r="AM284" s="71">
        <f t="shared" ref="AM284" si="318">+Y284-AE284</f>
        <v>864.36</v>
      </c>
    </row>
    <row r="285" spans="1:39" s="5" customFormat="1" x14ac:dyDescent="0.2">
      <c r="A285" s="64"/>
      <c r="B285" s="64"/>
      <c r="C285" s="64"/>
      <c r="D285" s="64"/>
      <c r="E285" s="64"/>
      <c r="F285" s="64" t="s">
        <v>295</v>
      </c>
      <c r="G285" s="64"/>
      <c r="H285" s="66"/>
      <c r="I285" s="66">
        <f>ROUND(SUM(I283:I284),5)</f>
        <v>0</v>
      </c>
      <c r="J285" s="66"/>
      <c r="K285" s="66">
        <f>ROUND(SUM(K283:K284),5)</f>
        <v>0</v>
      </c>
      <c r="L285" s="66"/>
      <c r="M285" s="66">
        <f>ROUND(SUM(M283:M284),5)</f>
        <v>0</v>
      </c>
      <c r="N285" s="66"/>
      <c r="O285" s="66">
        <f>ROUND(SUM(O283:O284),5)</f>
        <v>0</v>
      </c>
      <c r="P285" s="66"/>
      <c r="Q285" s="66">
        <f>ROUND(SUM(Q283:Q284),5)</f>
        <v>1587.55</v>
      </c>
      <c r="R285" s="66"/>
      <c r="S285" s="26">
        <f>ROUND(SUM(S283:S284),5)</f>
        <v>635.64</v>
      </c>
      <c r="T285" s="26"/>
      <c r="U285" s="26"/>
      <c r="V285" s="26"/>
      <c r="W285" s="26">
        <f>ROUND(SUM(W283:W284),5)</f>
        <v>844.59</v>
      </c>
      <c r="X285" s="26"/>
      <c r="Y285" s="26">
        <f>ROUND(SUM(Y283:Y284),5)</f>
        <v>1500</v>
      </c>
      <c r="AA285" s="26">
        <f>ROUND(SUM(AA283:AA284),5)</f>
        <v>1500</v>
      </c>
      <c r="AC285" s="77">
        <f t="shared" ref="AC285:AE285" si="319">ROUND(SUM(AC283:AC284),5)</f>
        <v>1111.595</v>
      </c>
      <c r="AD285" s="77">
        <f t="shared" si="319"/>
        <v>1587.55</v>
      </c>
      <c r="AE285" s="77">
        <f t="shared" si="319"/>
        <v>635.64</v>
      </c>
      <c r="AG285" s="77">
        <f t="shared" ref="AG285:AI285" si="320">ROUND(SUM(AG283:AG284),5)</f>
        <v>-267.005</v>
      </c>
      <c r="AH285" s="77">
        <f t="shared" si="320"/>
        <v>-742.96</v>
      </c>
      <c r="AI285" s="77">
        <f t="shared" si="320"/>
        <v>208.95</v>
      </c>
      <c r="AK285" s="66">
        <f t="shared" ref="AK285:AM285" si="321">ROUND(SUM(AK283:AK284),5)</f>
        <v>388.40499999999997</v>
      </c>
      <c r="AL285" s="66">
        <f t="shared" si="321"/>
        <v>-87.55</v>
      </c>
      <c r="AM285" s="66">
        <f t="shared" si="321"/>
        <v>864.36</v>
      </c>
    </row>
    <row r="286" spans="1:39" s="5" customFormat="1" x14ac:dyDescent="0.2">
      <c r="A286" s="64"/>
      <c r="B286" s="64"/>
      <c r="C286" s="64"/>
      <c r="D286" s="64"/>
      <c r="E286" s="64"/>
      <c r="F286" s="64" t="s">
        <v>296</v>
      </c>
      <c r="G286" s="64"/>
      <c r="H286" s="66"/>
      <c r="I286" s="66"/>
      <c r="J286" s="66"/>
      <c r="K286" s="66"/>
      <c r="L286" s="66"/>
      <c r="M286" s="66"/>
      <c r="N286" s="66"/>
      <c r="O286" s="66"/>
      <c r="P286" s="66"/>
      <c r="Q286" s="66"/>
      <c r="R286" s="66"/>
      <c r="S286" s="26"/>
      <c r="T286" s="26"/>
      <c r="U286" s="26"/>
      <c r="V286" s="26"/>
      <c r="W286" s="26"/>
      <c r="X286" s="26"/>
      <c r="Y286" s="26"/>
      <c r="AA286" s="26"/>
      <c r="AC286" s="66"/>
      <c r="AD286" s="66"/>
      <c r="AE286" s="66"/>
      <c r="AG286" s="66"/>
      <c r="AH286" s="66"/>
      <c r="AI286" s="66"/>
      <c r="AK286" s="66"/>
      <c r="AL286" s="66"/>
      <c r="AM286" s="66"/>
    </row>
    <row r="287" spans="1:39" s="5" customFormat="1" x14ac:dyDescent="0.2">
      <c r="A287" s="64"/>
      <c r="B287" s="64"/>
      <c r="C287" s="64"/>
      <c r="D287" s="64"/>
      <c r="E287" s="64"/>
      <c r="F287" s="64"/>
      <c r="G287" s="64" t="s">
        <v>297</v>
      </c>
      <c r="H287" s="66"/>
      <c r="I287" s="66"/>
      <c r="J287" s="66"/>
      <c r="K287" s="66"/>
      <c r="L287" s="66"/>
      <c r="M287" s="66"/>
      <c r="N287" s="66"/>
      <c r="O287" s="66"/>
      <c r="P287" s="66"/>
      <c r="Q287" s="66">
        <v>602.33000000000004</v>
      </c>
      <c r="R287" s="66"/>
      <c r="S287" s="26">
        <v>541.76</v>
      </c>
      <c r="T287" s="26"/>
      <c r="U287" s="26"/>
      <c r="V287" s="26"/>
      <c r="W287" s="26">
        <v>411.2</v>
      </c>
      <c r="X287" s="26"/>
      <c r="Y287" s="26">
        <v>625</v>
      </c>
      <c r="AA287" s="26">
        <v>700</v>
      </c>
      <c r="AC287" s="26">
        <f t="shared" ref="AC287:AC292" si="322">AVERAGE(K287:S287)</f>
        <v>572.04500000000007</v>
      </c>
      <c r="AD287" s="26">
        <f>MAX(K287:S287)</f>
        <v>602.33000000000004</v>
      </c>
      <c r="AE287" s="26">
        <f>MIN(K287:S287)</f>
        <v>541.76</v>
      </c>
      <c r="AG287" s="26">
        <f t="shared" ref="AG287:AG292" si="323">+W287-AC287</f>
        <v>-160.84500000000008</v>
      </c>
      <c r="AH287" s="26">
        <f t="shared" ref="AH287:AH292" si="324">+W287-AD287</f>
        <v>-191.13000000000005</v>
      </c>
      <c r="AI287" s="26">
        <f t="shared" ref="AI287:AI292" si="325">+W287-AE287</f>
        <v>-130.56</v>
      </c>
      <c r="AK287" s="66">
        <f t="shared" ref="AK287:AK292" si="326">+Y287-AC287</f>
        <v>52.954999999999927</v>
      </c>
      <c r="AL287" s="66">
        <f t="shared" ref="AL287:AL292" si="327">+Y287-AD287</f>
        <v>22.669999999999959</v>
      </c>
      <c r="AM287" s="66">
        <f t="shared" ref="AM287:AM292" si="328">+Y287-AE287</f>
        <v>83.240000000000009</v>
      </c>
    </row>
    <row r="288" spans="1:39" s="5" customFormat="1" x14ac:dyDescent="0.2">
      <c r="A288" s="64"/>
      <c r="B288" s="64"/>
      <c r="C288" s="64"/>
      <c r="D288" s="64"/>
      <c r="E288" s="64"/>
      <c r="F288" s="64"/>
      <c r="G288" s="64" t="s">
        <v>298</v>
      </c>
      <c r="H288" s="66"/>
      <c r="I288" s="66"/>
      <c r="J288" s="66"/>
      <c r="K288" s="66"/>
      <c r="L288" s="66"/>
      <c r="M288" s="66"/>
      <c r="N288" s="66"/>
      <c r="O288" s="66"/>
      <c r="P288" s="66"/>
      <c r="Q288" s="66"/>
      <c r="R288" s="66"/>
      <c r="S288" s="26">
        <v>6.85</v>
      </c>
      <c r="T288" s="26"/>
      <c r="U288" s="26"/>
      <c r="V288" s="26"/>
      <c r="W288" s="26">
        <v>13.9</v>
      </c>
      <c r="X288" s="26"/>
      <c r="Y288" s="26">
        <v>50</v>
      </c>
      <c r="AA288" s="26"/>
      <c r="AC288" s="26">
        <f t="shared" si="322"/>
        <v>6.85</v>
      </c>
      <c r="AD288" s="26"/>
      <c r="AE288" s="26"/>
      <c r="AG288" s="26"/>
      <c r="AH288" s="26"/>
      <c r="AI288" s="26"/>
      <c r="AK288" s="66"/>
      <c r="AL288" s="66"/>
      <c r="AM288" s="66"/>
    </row>
    <row r="289" spans="1:39" s="5" customFormat="1" x14ac:dyDescent="0.2">
      <c r="A289" s="64"/>
      <c r="B289" s="64"/>
      <c r="C289" s="64"/>
      <c r="D289" s="64"/>
      <c r="E289" s="64"/>
      <c r="F289" s="64"/>
      <c r="G289" s="64" t="s">
        <v>299</v>
      </c>
      <c r="H289" s="66"/>
      <c r="I289" s="66"/>
      <c r="J289" s="66"/>
      <c r="K289" s="66"/>
      <c r="L289" s="66"/>
      <c r="M289" s="66"/>
      <c r="N289" s="66"/>
      <c r="O289" s="66"/>
      <c r="P289" s="66"/>
      <c r="Q289" s="66">
        <v>40</v>
      </c>
      <c r="R289" s="66"/>
      <c r="S289" s="26">
        <v>452.03</v>
      </c>
      <c r="T289" s="26"/>
      <c r="U289" s="26"/>
      <c r="V289" s="26"/>
      <c r="W289" s="26">
        <v>145</v>
      </c>
      <c r="X289" s="26"/>
      <c r="Y289" s="26">
        <v>200</v>
      </c>
      <c r="AA289" s="26">
        <v>500</v>
      </c>
      <c r="AC289" s="26">
        <f t="shared" si="322"/>
        <v>246.01499999999999</v>
      </c>
      <c r="AD289" s="26">
        <f>MAX(K289:S289)</f>
        <v>452.03</v>
      </c>
      <c r="AE289" s="26">
        <f>MIN(K289:S289)</f>
        <v>40</v>
      </c>
      <c r="AG289" s="26">
        <f t="shared" si="323"/>
        <v>-101.01499999999999</v>
      </c>
      <c r="AH289" s="26">
        <f t="shared" si="324"/>
        <v>-307.02999999999997</v>
      </c>
      <c r="AI289" s="26">
        <f t="shared" si="325"/>
        <v>105</v>
      </c>
      <c r="AK289" s="66">
        <f t="shared" si="326"/>
        <v>-46.014999999999986</v>
      </c>
      <c r="AL289" s="66">
        <f t="shared" si="327"/>
        <v>-252.02999999999997</v>
      </c>
      <c r="AM289" s="66">
        <f t="shared" si="328"/>
        <v>160</v>
      </c>
    </row>
    <row r="290" spans="1:39" s="5" customFormat="1" x14ac:dyDescent="0.2">
      <c r="A290" s="64"/>
      <c r="B290" s="64"/>
      <c r="C290" s="64"/>
      <c r="D290" s="64"/>
      <c r="E290" s="64"/>
      <c r="F290" s="64"/>
      <c r="G290" s="64" t="s">
        <v>300</v>
      </c>
      <c r="H290" s="66"/>
      <c r="I290" s="66"/>
      <c r="J290" s="66"/>
      <c r="K290" s="66"/>
      <c r="L290" s="66"/>
      <c r="M290" s="66"/>
      <c r="N290" s="66"/>
      <c r="O290" s="66"/>
      <c r="P290" s="66"/>
      <c r="Q290" s="66">
        <v>1918.57</v>
      </c>
      <c r="R290" s="66"/>
      <c r="S290" s="26">
        <v>1075</v>
      </c>
      <c r="T290" s="26"/>
      <c r="U290" s="26"/>
      <c r="V290" s="26"/>
      <c r="W290" s="26">
        <v>155</v>
      </c>
      <c r="X290" s="26"/>
      <c r="Y290" s="26">
        <v>2500</v>
      </c>
      <c r="AA290" s="26">
        <v>1000</v>
      </c>
      <c r="AC290" s="26">
        <f t="shared" si="322"/>
        <v>1496.7849999999999</v>
      </c>
      <c r="AD290" s="26">
        <f>MAX(K290:S290)</f>
        <v>1918.57</v>
      </c>
      <c r="AE290" s="26">
        <f>MIN(K290:S290)</f>
        <v>1075</v>
      </c>
      <c r="AG290" s="26">
        <f t="shared" si="323"/>
        <v>-1341.7849999999999</v>
      </c>
      <c r="AH290" s="26">
        <f t="shared" si="324"/>
        <v>-1763.57</v>
      </c>
      <c r="AI290" s="26">
        <f t="shared" si="325"/>
        <v>-920</v>
      </c>
      <c r="AK290" s="66">
        <f t="shared" si="326"/>
        <v>1003.2150000000001</v>
      </c>
      <c r="AL290" s="66">
        <f t="shared" si="327"/>
        <v>581.43000000000006</v>
      </c>
      <c r="AM290" s="66">
        <f t="shared" si="328"/>
        <v>1425</v>
      </c>
    </row>
    <row r="291" spans="1:39" s="5" customFormat="1" x14ac:dyDescent="0.2">
      <c r="A291" s="64"/>
      <c r="B291" s="64"/>
      <c r="C291" s="64"/>
      <c r="D291" s="64"/>
      <c r="E291" s="64"/>
      <c r="F291" s="64"/>
      <c r="G291" s="64" t="s">
        <v>301</v>
      </c>
      <c r="H291" s="66"/>
      <c r="I291" s="66"/>
      <c r="J291" s="66"/>
      <c r="K291" s="66"/>
      <c r="L291" s="66"/>
      <c r="M291" s="66"/>
      <c r="N291" s="66"/>
      <c r="O291" s="66"/>
      <c r="P291" s="66"/>
      <c r="Q291" s="66">
        <v>67.150000000000006</v>
      </c>
      <c r="R291" s="66"/>
      <c r="S291" s="26">
        <v>1203.96</v>
      </c>
      <c r="T291" s="26"/>
      <c r="U291" s="26"/>
      <c r="V291" s="26"/>
      <c r="W291" s="26">
        <v>738.69</v>
      </c>
      <c r="X291" s="26"/>
      <c r="Y291" s="26">
        <v>500</v>
      </c>
      <c r="AA291" s="26">
        <v>750</v>
      </c>
      <c r="AC291" s="26">
        <f t="shared" si="322"/>
        <v>635.55500000000006</v>
      </c>
      <c r="AD291" s="26"/>
      <c r="AE291" s="26"/>
      <c r="AG291" s="26"/>
      <c r="AH291" s="26"/>
      <c r="AI291" s="26"/>
      <c r="AK291" s="66"/>
      <c r="AL291" s="66"/>
      <c r="AM291" s="66"/>
    </row>
    <row r="292" spans="1:39" s="5" customFormat="1" ht="12" thickBot="1" x14ac:dyDescent="0.25">
      <c r="A292" s="64"/>
      <c r="B292" s="64"/>
      <c r="C292" s="64"/>
      <c r="D292" s="64"/>
      <c r="E292" s="64"/>
      <c r="F292" s="64"/>
      <c r="G292" s="64" t="s">
        <v>302</v>
      </c>
      <c r="H292" s="66"/>
      <c r="I292" s="71"/>
      <c r="J292" s="66"/>
      <c r="K292" s="71"/>
      <c r="L292" s="66"/>
      <c r="M292" s="71"/>
      <c r="N292" s="66"/>
      <c r="O292" s="71"/>
      <c r="P292" s="71"/>
      <c r="Q292" s="66">
        <v>61.99</v>
      </c>
      <c r="R292" s="66"/>
      <c r="S292" s="26">
        <v>103.34</v>
      </c>
      <c r="T292" s="29"/>
      <c r="U292" s="29"/>
      <c r="V292" s="26"/>
      <c r="W292" s="26">
        <v>0</v>
      </c>
      <c r="X292" s="26"/>
      <c r="Y292" s="35">
        <v>500</v>
      </c>
      <c r="AA292" s="35">
        <v>250</v>
      </c>
      <c r="AC292" s="35">
        <f t="shared" si="322"/>
        <v>82.665000000000006</v>
      </c>
      <c r="AD292" s="35">
        <f>MAX(K292:S292)</f>
        <v>103.34</v>
      </c>
      <c r="AE292" s="35">
        <f>MIN(K292:S292)</f>
        <v>61.99</v>
      </c>
      <c r="AG292" s="35">
        <f t="shared" si="323"/>
        <v>-82.665000000000006</v>
      </c>
      <c r="AH292" s="35">
        <f t="shared" si="324"/>
        <v>-103.34</v>
      </c>
      <c r="AI292" s="35">
        <f t="shared" si="325"/>
        <v>-61.99</v>
      </c>
      <c r="AK292" s="71">
        <f t="shared" si="326"/>
        <v>417.33499999999998</v>
      </c>
      <c r="AL292" s="71">
        <f t="shared" si="327"/>
        <v>396.65999999999997</v>
      </c>
      <c r="AM292" s="71">
        <f t="shared" si="328"/>
        <v>438.01</v>
      </c>
    </row>
    <row r="293" spans="1:39" s="5" customFormat="1" ht="12" thickBot="1" x14ac:dyDescent="0.25">
      <c r="A293" s="64"/>
      <c r="B293" s="64"/>
      <c r="C293" s="64"/>
      <c r="D293" s="64"/>
      <c r="E293" s="64"/>
      <c r="F293" s="64" t="s">
        <v>303</v>
      </c>
      <c r="G293" s="64"/>
      <c r="H293" s="66"/>
      <c r="I293" s="78">
        <f>ROUND(SUM(I286:I292),5)</f>
        <v>0</v>
      </c>
      <c r="J293" s="66"/>
      <c r="K293" s="78">
        <f>ROUND(SUM(K286:K292),5)</f>
        <v>0</v>
      </c>
      <c r="L293" s="66"/>
      <c r="M293" s="78">
        <f>ROUND(SUM(M286:M292),5)</f>
        <v>0</v>
      </c>
      <c r="N293" s="66"/>
      <c r="O293" s="78">
        <f>ROUND(SUM(O286:O292),5)</f>
        <v>0</v>
      </c>
      <c r="P293" s="66"/>
      <c r="Q293" s="70">
        <f>ROUND(SUM(Q286:Q292),5)</f>
        <v>2690.04</v>
      </c>
      <c r="R293" s="71"/>
      <c r="S293" s="70">
        <f>ROUND(SUM(S286:S292),5)</f>
        <v>3382.94</v>
      </c>
      <c r="T293" s="26"/>
      <c r="U293" s="26"/>
      <c r="V293" s="26"/>
      <c r="W293" s="35">
        <f>ROUND(SUM(W286:W292),5)</f>
        <v>1463.79</v>
      </c>
      <c r="X293" s="35"/>
      <c r="Y293" s="35">
        <f>ROUND(SUM(Y286:Y292),5)</f>
        <v>4375</v>
      </c>
      <c r="Z293" s="79"/>
      <c r="AA293" s="35">
        <f>ROUND(SUM(AA286:AA292),5)</f>
        <v>3200</v>
      </c>
      <c r="AB293" s="79"/>
      <c r="AC293" s="80">
        <f>ROUND(SUM(AC286:AC292),5)</f>
        <v>3039.915</v>
      </c>
      <c r="AD293" s="80">
        <f>ROUND(SUM(AD286:AD292),5)</f>
        <v>3076.27</v>
      </c>
      <c r="AE293" s="80">
        <f>ROUND(SUM(AE286:AE292),5)</f>
        <v>1718.75</v>
      </c>
      <c r="AF293" s="79"/>
      <c r="AG293" s="80">
        <f>ROUND(SUM(AG286:AG292),5)</f>
        <v>-1686.31</v>
      </c>
      <c r="AH293" s="80">
        <f>ROUND(SUM(AH286:AH292),5)</f>
        <v>-2365.0700000000002</v>
      </c>
      <c r="AI293" s="80">
        <f>ROUND(SUM(AI286:AI292),5)</f>
        <v>-1007.55</v>
      </c>
      <c r="AJ293" s="79"/>
      <c r="AK293" s="66">
        <f>ROUND(SUM(AK286:AK292),5)</f>
        <v>1427.49</v>
      </c>
      <c r="AL293" s="66">
        <f>ROUND(SUM(AL286:AL292),5)</f>
        <v>748.73</v>
      </c>
      <c r="AM293" s="66">
        <f>ROUND(SUM(AM286:AM292),5)</f>
        <v>2106.25</v>
      </c>
    </row>
    <row r="294" spans="1:39" s="5" customFormat="1" x14ac:dyDescent="0.2">
      <c r="A294" s="64"/>
      <c r="B294" s="64"/>
      <c r="C294" s="64"/>
      <c r="D294" s="64"/>
      <c r="E294" s="73" t="s">
        <v>304</v>
      </c>
      <c r="F294" s="64"/>
      <c r="G294" s="64"/>
      <c r="H294" s="66"/>
      <c r="I294" s="65">
        <f>ROUND(I275+I282+I285+I293,5)</f>
        <v>0</v>
      </c>
      <c r="J294" s="66"/>
      <c r="K294" s="65">
        <f>ROUND(K275+K282+K285+K293,5)</f>
        <v>0</v>
      </c>
      <c r="L294" s="66"/>
      <c r="M294" s="65">
        <f>ROUND(M275+M282+M285+M293,5)</f>
        <v>0</v>
      </c>
      <c r="N294" s="66"/>
      <c r="O294" s="65">
        <f>ROUND(O275+O282+O285+O293,5)</f>
        <v>0</v>
      </c>
      <c r="P294" s="66"/>
      <c r="Q294" s="66">
        <f>ROUND(Q275+Q282+Q285+Q293,5)</f>
        <v>76971.75</v>
      </c>
      <c r="R294" s="66"/>
      <c r="S294" s="26">
        <f>ROUND(S275+S282+S285+SUM(S293:S293),5)</f>
        <v>65394.33</v>
      </c>
      <c r="T294" s="26"/>
      <c r="U294" s="26"/>
      <c r="V294" s="26"/>
      <c r="W294" s="26">
        <f>ROUND(W275+W282+W285+SUM(W293:W293),5)</f>
        <v>57078.62</v>
      </c>
      <c r="X294" s="26"/>
      <c r="Y294" s="26">
        <f>ROUND(Y275+Y282+Y285+SUM(Y293:Y293),5)</f>
        <v>73338</v>
      </c>
      <c r="AA294" s="26">
        <f>ROUND(AA275+AA282+AA285+SUM(AA293:AA293),5)</f>
        <v>74130.2</v>
      </c>
      <c r="AC294" s="77">
        <f>ROUND(AC275+AC282+AC285+SUM(AC293:AC293),5)</f>
        <v>71186.464999999997</v>
      </c>
      <c r="AD294" s="77">
        <f>ROUND(AD275+AD282+AD285+SUM(AD293:AD293),5)</f>
        <v>77807.16</v>
      </c>
      <c r="AE294" s="77">
        <f>ROUND(AE275+AE282+AE285+SUM(AE293:AE293),5)</f>
        <v>63280.959999999999</v>
      </c>
      <c r="AG294" s="77">
        <f>ROUND(AG275+AG282+AG285+SUM(AG293:AG293),5)</f>
        <v>-15403.43</v>
      </c>
      <c r="AH294" s="77">
        <f>ROUND(AH275+AH282+AH285+SUM(AH293:AH293),5)</f>
        <v>-22666.53</v>
      </c>
      <c r="AI294" s="77">
        <f>ROUND(AI275+AI282+AI285+SUM(AI293:AI293),5)</f>
        <v>-8140.33</v>
      </c>
      <c r="AK294" s="66">
        <f>ROUND(AK275+AK282+AK285+SUM(AK293:AK293),5)</f>
        <v>702.94</v>
      </c>
      <c r="AL294" s="66">
        <f>ROUND(AL275+AL282+AL285+SUM(AL293:AL293),5)</f>
        <v>-6560.16</v>
      </c>
      <c r="AM294" s="66">
        <f>ROUND(AM275+AM282+AM285+SUM(AM293:AM293),5)</f>
        <v>7966.04</v>
      </c>
    </row>
    <row r="295" spans="1:39" s="5" customFormat="1" x14ac:dyDescent="0.2">
      <c r="A295" s="64"/>
      <c r="B295" s="64"/>
      <c r="C295" s="64"/>
      <c r="D295" s="64"/>
      <c r="E295" s="64"/>
      <c r="F295" s="64"/>
      <c r="G295" s="64"/>
      <c r="H295" s="66"/>
      <c r="I295" s="66"/>
      <c r="J295" s="66"/>
      <c r="K295" s="66"/>
      <c r="L295" s="66"/>
      <c r="M295" s="66"/>
      <c r="N295" s="66"/>
      <c r="O295" s="66"/>
      <c r="P295" s="66"/>
      <c r="Q295" s="66"/>
      <c r="R295" s="66"/>
      <c r="S295" s="26"/>
      <c r="T295" s="26"/>
      <c r="U295" s="26"/>
      <c r="V295" s="26"/>
      <c r="W295" s="26"/>
      <c r="X295" s="26"/>
      <c r="Y295" s="26"/>
      <c r="AA295" s="26"/>
      <c r="AC295" s="66"/>
      <c r="AD295" s="66"/>
      <c r="AE295" s="66"/>
      <c r="AG295" s="66"/>
      <c r="AH295" s="66"/>
      <c r="AI295" s="66"/>
      <c r="AK295" s="66"/>
      <c r="AL295" s="66"/>
      <c r="AM295" s="66"/>
    </row>
    <row r="296" spans="1:39" s="5" customFormat="1" x14ac:dyDescent="0.2">
      <c r="A296" s="64"/>
      <c r="B296" s="64"/>
      <c r="C296" s="64"/>
      <c r="D296" s="64"/>
      <c r="E296" s="73" t="s">
        <v>305</v>
      </c>
      <c r="F296" s="64"/>
      <c r="G296" s="64"/>
      <c r="H296" s="66"/>
      <c r="I296" s="66"/>
      <c r="J296" s="66"/>
      <c r="K296" s="66"/>
      <c r="L296" s="66"/>
      <c r="M296" s="66"/>
      <c r="N296" s="66"/>
      <c r="O296" s="66"/>
      <c r="P296" s="66"/>
      <c r="Q296" s="66"/>
      <c r="R296" s="66"/>
      <c r="S296" s="26"/>
      <c r="T296" s="26"/>
      <c r="U296" s="26"/>
      <c r="V296" s="26"/>
      <c r="W296" s="26"/>
      <c r="X296" s="26"/>
      <c r="Y296" s="26"/>
      <c r="AA296" s="26"/>
      <c r="AC296" s="66"/>
      <c r="AD296" s="66"/>
      <c r="AE296" s="66"/>
      <c r="AG296" s="66"/>
      <c r="AH296" s="66"/>
      <c r="AI296" s="66"/>
      <c r="AK296" s="66"/>
      <c r="AL296" s="66"/>
      <c r="AM296" s="66"/>
    </row>
    <row r="297" spans="1:39" s="5" customFormat="1" x14ac:dyDescent="0.2">
      <c r="A297" s="64"/>
      <c r="B297" s="64"/>
      <c r="C297" s="64"/>
      <c r="D297" s="64"/>
      <c r="E297" s="64"/>
      <c r="F297" s="64" t="s">
        <v>306</v>
      </c>
      <c r="G297" s="64"/>
      <c r="H297" s="66"/>
      <c r="I297" s="66"/>
      <c r="J297" s="66"/>
      <c r="K297" s="66"/>
      <c r="L297" s="66"/>
      <c r="M297" s="66"/>
      <c r="N297" s="66"/>
      <c r="O297" s="66"/>
      <c r="P297" s="66"/>
      <c r="Q297" s="66"/>
      <c r="R297" s="66"/>
      <c r="S297" s="26"/>
      <c r="T297" s="26"/>
      <c r="U297" s="26"/>
      <c r="V297" s="26"/>
      <c r="W297" s="26"/>
      <c r="X297" s="26"/>
      <c r="Y297" s="26"/>
      <c r="AA297" s="26"/>
      <c r="AC297" s="66"/>
      <c r="AD297" s="66"/>
      <c r="AE297" s="66"/>
      <c r="AG297" s="66"/>
      <c r="AH297" s="66"/>
      <c r="AI297" s="66"/>
      <c r="AK297" s="66"/>
      <c r="AL297" s="66"/>
      <c r="AM297" s="66"/>
    </row>
    <row r="298" spans="1:39" s="5" customFormat="1" x14ac:dyDescent="0.2">
      <c r="A298" s="64"/>
      <c r="B298" s="64"/>
      <c r="C298" s="64"/>
      <c r="D298" s="64"/>
      <c r="E298" s="64"/>
      <c r="F298" s="64"/>
      <c r="G298" s="64" t="s">
        <v>307</v>
      </c>
      <c r="H298" s="66"/>
      <c r="I298" s="66">
        <v>47606</v>
      </c>
      <c r="J298" s="66"/>
      <c r="K298" s="66">
        <v>47334</v>
      </c>
      <c r="L298" s="66"/>
      <c r="M298" s="66">
        <f>56368</f>
        <v>56368</v>
      </c>
      <c r="N298" s="66"/>
      <c r="O298" s="66">
        <v>58903.8</v>
      </c>
      <c r="P298" s="66"/>
      <c r="Q298" s="66">
        <v>55148.14</v>
      </c>
      <c r="R298" s="66"/>
      <c r="S298" s="26">
        <v>62536.25</v>
      </c>
      <c r="T298" s="26"/>
      <c r="U298" s="26"/>
      <c r="V298" s="26"/>
      <c r="W298" s="26">
        <v>34418.69</v>
      </c>
      <c r="X298" s="26"/>
      <c r="Y298" s="26">
        <v>68350</v>
      </c>
      <c r="AA298" s="26">
        <v>89037</v>
      </c>
      <c r="AC298" s="26">
        <f t="shared" ref="AC298:AC302" si="329">AVERAGE(K298:S298)</f>
        <v>56058.038</v>
      </c>
      <c r="AD298" s="26">
        <f>MAX(K298:S298)</f>
        <v>62536.25</v>
      </c>
      <c r="AE298" s="26">
        <f>MIN(K298:S298)</f>
        <v>47334</v>
      </c>
      <c r="AG298" s="26">
        <f t="shared" ref="AG298" si="330">+W298-AC298</f>
        <v>-21639.347999999998</v>
      </c>
      <c r="AH298" s="26">
        <f t="shared" ref="AH298" si="331">+W298-AD298</f>
        <v>-28117.559999999998</v>
      </c>
      <c r="AI298" s="26">
        <f t="shared" ref="AI298" si="332">+W298-AE298</f>
        <v>-12915.309999999998</v>
      </c>
      <c r="AK298" s="66">
        <f t="shared" ref="AK298:AK302" si="333">+Y298-AC298</f>
        <v>12291.962</v>
      </c>
      <c r="AL298" s="66">
        <f t="shared" ref="AL298:AL302" si="334">+Y298-AD298</f>
        <v>5813.75</v>
      </c>
      <c r="AM298" s="66">
        <f t="shared" ref="AM298:AM302" si="335">+Y298-AE298</f>
        <v>21016</v>
      </c>
    </row>
    <row r="299" spans="1:39" s="5" customFormat="1" x14ac:dyDescent="0.2">
      <c r="A299" s="64"/>
      <c r="B299" s="64"/>
      <c r="C299" s="64"/>
      <c r="D299" s="64"/>
      <c r="E299" s="64"/>
      <c r="F299" s="64"/>
      <c r="G299" s="64" t="s">
        <v>308</v>
      </c>
      <c r="H299" s="66"/>
      <c r="I299" s="66"/>
      <c r="J299" s="66"/>
      <c r="K299" s="66"/>
      <c r="L299" s="66"/>
      <c r="M299" s="66">
        <v>-3860</v>
      </c>
      <c r="N299" s="66"/>
      <c r="O299" s="66">
        <v>-3330</v>
      </c>
      <c r="P299" s="66"/>
      <c r="Q299" s="66">
        <v>4972.71</v>
      </c>
      <c r="R299" s="66"/>
      <c r="S299" s="26"/>
      <c r="T299" s="26"/>
      <c r="U299" s="26"/>
      <c r="V299" s="26"/>
      <c r="W299" s="26"/>
      <c r="X299" s="26"/>
      <c r="Y299" s="26">
        <v>0</v>
      </c>
      <c r="AA299" s="26"/>
      <c r="AC299" s="26">
        <f t="shared" si="329"/>
        <v>-739.09666666666669</v>
      </c>
      <c r="AD299" s="26">
        <f>MAX(K299:S299)</f>
        <v>4972.71</v>
      </c>
      <c r="AE299" s="26">
        <f>MIN(K299:S299)</f>
        <v>-3860</v>
      </c>
      <c r="AG299" s="26">
        <f>+W299-AC299</f>
        <v>739.09666666666669</v>
      </c>
      <c r="AH299" s="26">
        <f>+W299-AD299</f>
        <v>-4972.71</v>
      </c>
      <c r="AI299" s="26">
        <f>+W299-AE299</f>
        <v>3860</v>
      </c>
      <c r="AK299" s="66"/>
      <c r="AL299" s="66"/>
      <c r="AM299" s="66"/>
    </row>
    <row r="300" spans="1:39" s="5" customFormat="1" x14ac:dyDescent="0.2">
      <c r="A300" s="64"/>
      <c r="B300" s="64"/>
      <c r="C300" s="64"/>
      <c r="D300" s="64"/>
      <c r="E300" s="64"/>
      <c r="F300" s="64"/>
      <c r="G300" s="64" t="s">
        <v>309</v>
      </c>
      <c r="H300" s="66"/>
      <c r="I300" s="66">
        <v>4954</v>
      </c>
      <c r="J300" s="66"/>
      <c r="K300" s="66">
        <v>4732</v>
      </c>
      <c r="L300" s="66"/>
      <c r="M300" s="66">
        <v>6011</v>
      </c>
      <c r="N300" s="66"/>
      <c r="O300" s="66">
        <v>5450.37</v>
      </c>
      <c r="P300" s="66"/>
      <c r="Q300" s="66">
        <v>76.45</v>
      </c>
      <c r="R300" s="66"/>
      <c r="S300" s="26">
        <v>5623</v>
      </c>
      <c r="T300" s="26"/>
      <c r="U300" s="26"/>
      <c r="V300" s="26"/>
      <c r="W300" s="26">
        <v>3343.3</v>
      </c>
      <c r="X300" s="26"/>
      <c r="Y300" s="26">
        <v>5229</v>
      </c>
      <c r="AA300" s="29">
        <f>+AA298*0.0765</f>
        <v>6811.3305</v>
      </c>
      <c r="AC300" s="26">
        <f t="shared" si="329"/>
        <v>4378.5640000000003</v>
      </c>
      <c r="AD300" s="26">
        <f>MAX(K300:S300)</f>
        <v>6011</v>
      </c>
      <c r="AE300" s="26">
        <f>MIN(K300:S300)</f>
        <v>76.45</v>
      </c>
      <c r="AG300" s="26">
        <f>+W300-AC300</f>
        <v>-1035.2640000000001</v>
      </c>
      <c r="AH300" s="26">
        <f>+W300-AD300</f>
        <v>-2667.7</v>
      </c>
      <c r="AI300" s="26">
        <f>+W300-AE300</f>
        <v>3266.8500000000004</v>
      </c>
      <c r="AK300" s="66">
        <f t="shared" si="333"/>
        <v>850.43599999999969</v>
      </c>
      <c r="AL300" s="66">
        <f t="shared" si="334"/>
        <v>-782</v>
      </c>
      <c r="AM300" s="66">
        <f t="shared" si="335"/>
        <v>5152.55</v>
      </c>
    </row>
    <row r="301" spans="1:39" s="43" customFormat="1" x14ac:dyDescent="0.2">
      <c r="A301" s="64"/>
      <c r="B301" s="64"/>
      <c r="C301" s="64"/>
      <c r="D301" s="64"/>
      <c r="E301" s="64"/>
      <c r="F301" s="64"/>
      <c r="G301" s="64" t="s">
        <v>310</v>
      </c>
      <c r="H301" s="69"/>
      <c r="I301" s="69"/>
      <c r="J301" s="69"/>
      <c r="K301" s="69"/>
      <c r="L301" s="69"/>
      <c r="M301" s="69"/>
      <c r="N301" s="69"/>
      <c r="O301" s="69"/>
      <c r="P301" s="69"/>
      <c r="Q301" s="69">
        <v>0</v>
      </c>
      <c r="R301" s="69"/>
      <c r="S301" s="26">
        <v>14</v>
      </c>
      <c r="T301" s="29"/>
      <c r="U301" s="29"/>
      <c r="V301" s="29"/>
      <c r="W301" s="26">
        <v>17.55</v>
      </c>
      <c r="X301" s="29"/>
      <c r="Y301" s="29">
        <v>30</v>
      </c>
      <c r="AA301" s="29">
        <v>450</v>
      </c>
      <c r="AC301" s="69">
        <f t="shared" si="329"/>
        <v>7</v>
      </c>
      <c r="AD301" s="69">
        <f>MAX(K301:S301)</f>
        <v>14</v>
      </c>
      <c r="AE301" s="69">
        <f>MIN(K301:S301)</f>
        <v>0</v>
      </c>
      <c r="AF301" s="5"/>
      <c r="AG301" s="69">
        <f>+W301-AC301</f>
        <v>10.55</v>
      </c>
      <c r="AH301" s="69">
        <f>+W301-AD301</f>
        <v>3.5500000000000007</v>
      </c>
      <c r="AI301" s="69">
        <f>+W301-AE301</f>
        <v>17.55</v>
      </c>
      <c r="AJ301" s="5"/>
      <c r="AK301" s="69">
        <f t="shared" si="333"/>
        <v>23</v>
      </c>
      <c r="AL301" s="69">
        <f t="shared" si="334"/>
        <v>16</v>
      </c>
      <c r="AM301" s="69">
        <f t="shared" si="335"/>
        <v>30</v>
      </c>
    </row>
    <row r="302" spans="1:39" s="5" customFormat="1" ht="12" thickBot="1" x14ac:dyDescent="0.25">
      <c r="A302" s="64"/>
      <c r="B302" s="64"/>
      <c r="C302" s="64"/>
      <c r="D302" s="64"/>
      <c r="E302" s="64"/>
      <c r="F302" s="64"/>
      <c r="G302" s="64" t="s">
        <v>311</v>
      </c>
      <c r="H302" s="66"/>
      <c r="I302" s="71"/>
      <c r="J302" s="66"/>
      <c r="K302" s="71"/>
      <c r="L302" s="66"/>
      <c r="M302" s="71"/>
      <c r="N302" s="66"/>
      <c r="O302" s="71"/>
      <c r="P302" s="71"/>
      <c r="Q302" s="71"/>
      <c r="R302" s="71"/>
      <c r="S302" s="35">
        <v>154.05000000000001</v>
      </c>
      <c r="T302" s="29"/>
      <c r="U302" s="29"/>
      <c r="V302" s="26"/>
      <c r="W302" s="35">
        <v>82.13</v>
      </c>
      <c r="X302" s="26"/>
      <c r="Y302" s="35">
        <v>199</v>
      </c>
      <c r="AA302" s="35">
        <f>+AA298*0.29/100</f>
        <v>258.20729999999998</v>
      </c>
      <c r="AC302" s="71">
        <f t="shared" si="329"/>
        <v>154.05000000000001</v>
      </c>
      <c r="AD302" s="71">
        <f>MAX(K302:S302)</f>
        <v>154.05000000000001</v>
      </c>
      <c r="AE302" s="71">
        <f>MIN(K302:S302)</f>
        <v>154.05000000000001</v>
      </c>
      <c r="AG302" s="71">
        <f>+W302-AC302</f>
        <v>-71.920000000000016</v>
      </c>
      <c r="AH302" s="71">
        <f>+W302-AD302</f>
        <v>-71.920000000000016</v>
      </c>
      <c r="AI302" s="71">
        <f>+W302-AE302</f>
        <v>-71.920000000000016</v>
      </c>
      <c r="AK302" s="71">
        <f t="shared" si="333"/>
        <v>44.949999999999989</v>
      </c>
      <c r="AL302" s="71">
        <f t="shared" si="334"/>
        <v>44.949999999999989</v>
      </c>
      <c r="AM302" s="71">
        <f t="shared" si="335"/>
        <v>44.949999999999989</v>
      </c>
    </row>
    <row r="303" spans="1:39" s="5" customFormat="1" x14ac:dyDescent="0.2">
      <c r="A303" s="64"/>
      <c r="B303" s="64"/>
      <c r="C303" s="64"/>
      <c r="D303" s="64"/>
      <c r="E303" s="64"/>
      <c r="F303" s="64" t="s">
        <v>312</v>
      </c>
      <c r="G303" s="64"/>
      <c r="H303" s="66"/>
      <c r="I303" s="66">
        <f>ROUND(SUM(I297:I302),5)</f>
        <v>52560</v>
      </c>
      <c r="J303" s="66"/>
      <c r="K303" s="66">
        <f>ROUND(SUM(K297:K302),5)</f>
        <v>52066</v>
      </c>
      <c r="L303" s="66"/>
      <c r="M303" s="66">
        <f>ROUND(SUM(M297:M302),5)</f>
        <v>58519</v>
      </c>
      <c r="N303" s="66"/>
      <c r="O303" s="66">
        <f>ROUND(SUM(O297:O302),5)</f>
        <v>61024.17</v>
      </c>
      <c r="P303" s="66"/>
      <c r="Q303" s="66">
        <f>ROUND(SUM(Q297:Q302),5)</f>
        <v>60197.3</v>
      </c>
      <c r="R303" s="66"/>
      <c r="S303" s="26">
        <f>ROUND(SUM(S297:S302),5)</f>
        <v>68327.3</v>
      </c>
      <c r="T303" s="26"/>
      <c r="U303" s="26"/>
      <c r="V303" s="26"/>
      <c r="W303" s="26">
        <f>ROUND(SUM(W297:W302),5)</f>
        <v>37861.67</v>
      </c>
      <c r="X303" s="26"/>
      <c r="Y303" s="26">
        <f>ROUND(SUM(Y297:Y302),5)</f>
        <v>73808</v>
      </c>
      <c r="AA303" s="26">
        <f>ROUND(SUM(AA297:AA302),5)</f>
        <v>96556.537800000006</v>
      </c>
      <c r="AC303" s="66">
        <f>ROUND(SUM(AC297:AC302),5)</f>
        <v>59858.555330000003</v>
      </c>
      <c r="AD303" s="66">
        <f>ROUND(SUM(AD297:AD302),5)</f>
        <v>73688.009999999995</v>
      </c>
      <c r="AE303" s="66">
        <f>ROUND(SUM(AE297:AE302),5)</f>
        <v>43704.5</v>
      </c>
      <c r="AG303" s="66">
        <f t="shared" ref="AG303:AI303" si="336">ROUND(SUM(AG297:AG302),5)</f>
        <v>-21996.885330000001</v>
      </c>
      <c r="AH303" s="66">
        <f t="shared" si="336"/>
        <v>-35826.339999999997</v>
      </c>
      <c r="AI303" s="66">
        <f t="shared" si="336"/>
        <v>-5842.83</v>
      </c>
      <c r="AK303" s="66">
        <f t="shared" ref="AK303:AM303" si="337">ROUND(SUM(AK297:AK302),5)</f>
        <v>13210.348</v>
      </c>
      <c r="AL303" s="66">
        <f t="shared" si="337"/>
        <v>5092.7</v>
      </c>
      <c r="AM303" s="66">
        <f t="shared" si="337"/>
        <v>26243.5</v>
      </c>
    </row>
    <row r="304" spans="1:39" s="5" customFormat="1" x14ac:dyDescent="0.2">
      <c r="A304" s="64"/>
      <c r="B304" s="64"/>
      <c r="C304" s="64"/>
      <c r="D304" s="64"/>
      <c r="E304" s="64"/>
      <c r="F304" s="64" t="s">
        <v>313</v>
      </c>
      <c r="G304" s="64"/>
      <c r="H304" s="66"/>
      <c r="I304" s="66"/>
      <c r="J304" s="66"/>
      <c r="K304" s="66"/>
      <c r="L304" s="66"/>
      <c r="M304" s="66"/>
      <c r="N304" s="66"/>
      <c r="O304" s="66"/>
      <c r="P304" s="66"/>
      <c r="Q304" s="66"/>
      <c r="R304" s="66"/>
      <c r="S304" s="26"/>
      <c r="T304" s="26"/>
      <c r="U304" s="26"/>
      <c r="V304" s="26"/>
      <c r="W304" s="26"/>
      <c r="X304" s="26"/>
      <c r="Y304" s="26"/>
      <c r="AA304" s="26"/>
      <c r="AC304" s="66"/>
      <c r="AD304" s="66"/>
      <c r="AE304" s="66"/>
      <c r="AG304" s="66"/>
      <c r="AH304" s="66"/>
      <c r="AI304" s="66"/>
      <c r="AK304" s="66"/>
      <c r="AL304" s="66"/>
      <c r="AM304" s="66"/>
    </row>
    <row r="305" spans="1:39" s="5" customFormat="1" x14ac:dyDescent="0.2">
      <c r="A305" s="64"/>
      <c r="B305" s="64"/>
      <c r="C305" s="64"/>
      <c r="D305" s="64"/>
      <c r="E305" s="64"/>
      <c r="F305" s="64"/>
      <c r="G305" s="64" t="s">
        <v>314</v>
      </c>
      <c r="H305" s="66"/>
      <c r="I305" s="66"/>
      <c r="J305" s="66"/>
      <c r="K305" s="66"/>
      <c r="L305" s="66"/>
      <c r="M305" s="66"/>
      <c r="N305" s="66"/>
      <c r="O305" s="66"/>
      <c r="P305" s="66"/>
      <c r="Q305" s="66">
        <v>1331.76</v>
      </c>
      <c r="R305" s="66"/>
      <c r="S305" s="26">
        <v>1020.74</v>
      </c>
      <c r="T305" s="26"/>
      <c r="U305" s="26"/>
      <c r="V305" s="26"/>
      <c r="W305" s="26">
        <v>302.55</v>
      </c>
      <c r="X305" s="26"/>
      <c r="Y305" s="26">
        <v>1200</v>
      </c>
      <c r="AA305" s="26">
        <v>750</v>
      </c>
      <c r="AC305" s="66"/>
      <c r="AD305" s="66">
        <f>MAX(H305:O305)</f>
        <v>0</v>
      </c>
      <c r="AE305" s="66">
        <f>MIN(H305:O305)</f>
        <v>0</v>
      </c>
      <c r="AG305" s="66">
        <f>+W305-AC305</f>
        <v>302.55</v>
      </c>
      <c r="AH305" s="66">
        <f>+W305-AD305</f>
        <v>302.55</v>
      </c>
      <c r="AI305" s="66">
        <f>+W305-AE305</f>
        <v>302.55</v>
      </c>
      <c r="AK305" s="66">
        <f>+Y305-AC305</f>
        <v>1200</v>
      </c>
      <c r="AL305" s="66">
        <f>+Y305-AD305</f>
        <v>1200</v>
      </c>
      <c r="AM305" s="66">
        <f>+Y305-AE305</f>
        <v>1200</v>
      </c>
    </row>
    <row r="306" spans="1:39" s="5" customFormat="1" x14ac:dyDescent="0.2">
      <c r="A306" s="64"/>
      <c r="B306" s="64"/>
      <c r="C306" s="64"/>
      <c r="D306" s="64"/>
      <c r="E306" s="64"/>
      <c r="F306" s="64"/>
      <c r="G306" s="64" t="s">
        <v>315</v>
      </c>
      <c r="H306" s="66"/>
      <c r="I306" s="66">
        <v>10</v>
      </c>
      <c r="J306" s="66"/>
      <c r="K306" s="66"/>
      <c r="L306" s="66"/>
      <c r="M306" s="66"/>
      <c r="N306" s="66"/>
      <c r="O306" s="66">
        <v>522</v>
      </c>
      <c r="P306" s="66"/>
      <c r="Q306" s="66">
        <v>0</v>
      </c>
      <c r="R306" s="66"/>
      <c r="S306" s="26"/>
      <c r="T306" s="26"/>
      <c r="U306" s="26"/>
      <c r="V306" s="26"/>
      <c r="W306" s="26">
        <v>0</v>
      </c>
      <c r="X306" s="26"/>
      <c r="Y306" s="26">
        <v>0</v>
      </c>
      <c r="AA306" s="26">
        <v>0</v>
      </c>
      <c r="AC306" s="66">
        <f t="shared" ref="AC306:AC310" si="338">AVERAGE(K306:S306)</f>
        <v>261</v>
      </c>
      <c r="AD306" s="66">
        <f>MAX(K306:S306)</f>
        <v>522</v>
      </c>
      <c r="AE306" s="66">
        <f>MIN(K306:S306)</f>
        <v>0</v>
      </c>
      <c r="AG306" s="66">
        <f t="shared" ref="AG306:AG310" si="339">+W306-AC306</f>
        <v>-261</v>
      </c>
      <c r="AH306" s="66">
        <f t="shared" ref="AH306:AH310" si="340">+W306-AD306</f>
        <v>-522</v>
      </c>
      <c r="AI306" s="66">
        <f t="shared" ref="AI306:AI310" si="341">+W306-AE306</f>
        <v>0</v>
      </c>
      <c r="AK306" s="66">
        <f t="shared" ref="AK306:AK310" si="342">+Y306-AC306</f>
        <v>-261</v>
      </c>
      <c r="AL306" s="66">
        <f t="shared" ref="AL306:AL310" si="343">+Y306-AD306</f>
        <v>-522</v>
      </c>
      <c r="AM306" s="66">
        <f t="shared" ref="AM306:AM310" si="344">+Y306-AE306</f>
        <v>0</v>
      </c>
    </row>
    <row r="307" spans="1:39" s="5" customFormat="1" x14ac:dyDescent="0.2">
      <c r="A307" s="64"/>
      <c r="B307" s="64"/>
      <c r="C307" s="64"/>
      <c r="D307" s="64"/>
      <c r="E307" s="64"/>
      <c r="F307" s="64"/>
      <c r="G307" s="64" t="s">
        <v>316</v>
      </c>
      <c r="H307" s="66"/>
      <c r="I307" s="66">
        <v>1315</v>
      </c>
      <c r="J307" s="66"/>
      <c r="K307" s="66">
        <v>1138</v>
      </c>
      <c r="L307" s="66"/>
      <c r="M307" s="66">
        <v>1070</v>
      </c>
      <c r="N307" s="66"/>
      <c r="O307" s="66">
        <v>793.64</v>
      </c>
      <c r="P307" s="66"/>
      <c r="Q307" s="66">
        <v>804.42</v>
      </c>
      <c r="R307" s="66"/>
      <c r="S307" s="26"/>
      <c r="T307" s="26"/>
      <c r="U307" s="26"/>
      <c r="V307" s="26"/>
      <c r="W307" s="26">
        <v>0</v>
      </c>
      <c r="X307" s="26"/>
      <c r="Y307" s="26">
        <v>0</v>
      </c>
      <c r="AA307" s="26">
        <v>0</v>
      </c>
      <c r="AC307" s="66">
        <f t="shared" si="338"/>
        <v>951.51499999999999</v>
      </c>
      <c r="AD307" s="66">
        <f>MAX(K307:S307)</f>
        <v>1138</v>
      </c>
      <c r="AE307" s="66">
        <f>MIN(K307:S307)</f>
        <v>793.64</v>
      </c>
      <c r="AG307" s="66">
        <f t="shared" si="339"/>
        <v>-951.51499999999999</v>
      </c>
      <c r="AH307" s="66">
        <f t="shared" si="340"/>
        <v>-1138</v>
      </c>
      <c r="AI307" s="66">
        <f t="shared" si="341"/>
        <v>-793.64</v>
      </c>
      <c r="AK307" s="66">
        <f t="shared" si="342"/>
        <v>-951.51499999999999</v>
      </c>
      <c r="AL307" s="66">
        <f t="shared" si="343"/>
        <v>-1138</v>
      </c>
      <c r="AM307" s="66">
        <f t="shared" si="344"/>
        <v>-793.64</v>
      </c>
    </row>
    <row r="308" spans="1:39" s="5" customFormat="1" x14ac:dyDescent="0.2">
      <c r="A308" s="64"/>
      <c r="B308" s="64"/>
      <c r="C308" s="64"/>
      <c r="D308" s="64"/>
      <c r="E308" s="64"/>
      <c r="F308" s="64"/>
      <c r="G308" s="64" t="s">
        <v>317</v>
      </c>
      <c r="H308" s="66"/>
      <c r="I308" s="66"/>
      <c r="J308" s="66"/>
      <c r="K308" s="66"/>
      <c r="L308" s="66"/>
      <c r="M308" s="66"/>
      <c r="N308" s="66"/>
      <c r="O308" s="66"/>
      <c r="P308" s="66"/>
      <c r="Q308" s="66"/>
      <c r="R308" s="66"/>
      <c r="S308" s="26">
        <v>127.06</v>
      </c>
      <c r="T308" s="26"/>
      <c r="U308" s="26"/>
      <c r="V308" s="26"/>
      <c r="W308" s="26">
        <v>0</v>
      </c>
      <c r="X308" s="26"/>
      <c r="Y308" s="26"/>
      <c r="AA308" s="26">
        <v>0</v>
      </c>
      <c r="AC308" s="66">
        <f t="shared" si="338"/>
        <v>127.06</v>
      </c>
      <c r="AD308" s="66"/>
      <c r="AE308" s="66"/>
      <c r="AG308" s="66"/>
      <c r="AH308" s="66"/>
      <c r="AI308" s="66"/>
      <c r="AK308" s="66"/>
      <c r="AL308" s="66"/>
      <c r="AM308" s="66"/>
    </row>
    <row r="309" spans="1:39" s="5" customFormat="1" x14ac:dyDescent="0.2">
      <c r="A309" s="64"/>
      <c r="B309" s="64"/>
      <c r="C309" s="64"/>
      <c r="D309" s="64"/>
      <c r="E309" s="64"/>
      <c r="F309" s="64"/>
      <c r="G309" s="64" t="s">
        <v>318</v>
      </c>
      <c r="H309" s="66"/>
      <c r="I309" s="66">
        <v>2237</v>
      </c>
      <c r="J309" s="66"/>
      <c r="K309" s="66">
        <v>1228</v>
      </c>
      <c r="L309" s="66"/>
      <c r="M309" s="66">
        <v>2513</v>
      </c>
      <c r="N309" s="66"/>
      <c r="O309" s="66">
        <v>884.74</v>
      </c>
      <c r="P309" s="66"/>
      <c r="Q309" s="66">
        <v>2130.25</v>
      </c>
      <c r="R309" s="66"/>
      <c r="S309" s="26">
        <v>512.45000000000005</v>
      </c>
      <c r="T309" s="26"/>
      <c r="U309" s="26"/>
      <c r="V309" s="26"/>
      <c r="W309" s="26">
        <v>473.83</v>
      </c>
      <c r="X309" s="26"/>
      <c r="Y309" s="26">
        <v>1800</v>
      </c>
      <c r="AA309" s="26">
        <v>1200</v>
      </c>
      <c r="AC309" s="66">
        <f t="shared" si="338"/>
        <v>1453.6879999999999</v>
      </c>
      <c r="AD309" s="66">
        <f>MAX(K309:S309)</f>
        <v>2513</v>
      </c>
      <c r="AE309" s="66">
        <f>MIN(K309:S309)</f>
        <v>512.45000000000005</v>
      </c>
      <c r="AG309" s="66">
        <f t="shared" si="339"/>
        <v>-979.85799999999995</v>
      </c>
      <c r="AH309" s="66">
        <f t="shared" si="340"/>
        <v>-2039.17</v>
      </c>
      <c r="AI309" s="66">
        <f t="shared" si="341"/>
        <v>-38.620000000000061</v>
      </c>
      <c r="AK309" s="66">
        <f t="shared" si="342"/>
        <v>346.31200000000013</v>
      </c>
      <c r="AL309" s="66">
        <f t="shared" si="343"/>
        <v>-713</v>
      </c>
      <c r="AM309" s="66">
        <f t="shared" si="344"/>
        <v>1287.55</v>
      </c>
    </row>
    <row r="310" spans="1:39" s="5" customFormat="1" ht="12" thickBot="1" x14ac:dyDescent="0.25">
      <c r="A310" s="64"/>
      <c r="B310" s="64"/>
      <c r="C310" s="64"/>
      <c r="D310" s="64"/>
      <c r="E310" s="64"/>
      <c r="F310" s="64"/>
      <c r="G310" s="64" t="s">
        <v>319</v>
      </c>
      <c r="H310" s="66"/>
      <c r="I310" s="69">
        <v>1368</v>
      </c>
      <c r="J310" s="66"/>
      <c r="K310" s="69">
        <v>811</v>
      </c>
      <c r="L310" s="66"/>
      <c r="M310" s="69">
        <v>1626</v>
      </c>
      <c r="N310" s="66"/>
      <c r="O310" s="69">
        <v>3224.19</v>
      </c>
      <c r="P310" s="69"/>
      <c r="Q310" s="66">
        <v>424</v>
      </c>
      <c r="R310" s="66"/>
      <c r="S310" s="26">
        <v>212.76</v>
      </c>
      <c r="T310" s="29"/>
      <c r="U310" s="29"/>
      <c r="V310" s="26"/>
      <c r="W310" s="26">
        <v>5942.53</v>
      </c>
      <c r="X310" s="26"/>
      <c r="Y310" s="29">
        <v>1500</v>
      </c>
      <c r="AA310" s="29">
        <v>1500</v>
      </c>
      <c r="AC310" s="69">
        <f t="shared" si="338"/>
        <v>1259.5900000000001</v>
      </c>
      <c r="AD310" s="69">
        <f>MAX(K310:S310)</f>
        <v>3224.19</v>
      </c>
      <c r="AE310" s="69">
        <f>MIN(K310:S310)</f>
        <v>212.76</v>
      </c>
      <c r="AG310" s="69">
        <f t="shared" si="339"/>
        <v>4682.9399999999996</v>
      </c>
      <c r="AH310" s="69">
        <f t="shared" si="340"/>
        <v>2718.3399999999997</v>
      </c>
      <c r="AI310" s="69">
        <f t="shared" si="341"/>
        <v>5729.7699999999995</v>
      </c>
      <c r="AK310" s="69">
        <f t="shared" si="342"/>
        <v>240.40999999999985</v>
      </c>
      <c r="AL310" s="69">
        <f t="shared" si="343"/>
        <v>-1724.19</v>
      </c>
      <c r="AM310" s="69">
        <f t="shared" si="344"/>
        <v>1287.24</v>
      </c>
    </row>
    <row r="311" spans="1:39" s="5" customFormat="1" ht="12" thickBot="1" x14ac:dyDescent="0.25">
      <c r="A311" s="64"/>
      <c r="B311" s="64"/>
      <c r="C311" s="64"/>
      <c r="D311" s="64"/>
      <c r="E311" s="64"/>
      <c r="F311" s="64" t="s">
        <v>320</v>
      </c>
      <c r="G311" s="64"/>
      <c r="H311" s="66"/>
      <c r="I311" s="70">
        <f>ROUND(SUM(I304:I310),5)</f>
        <v>4930</v>
      </c>
      <c r="J311" s="66"/>
      <c r="K311" s="70">
        <f>ROUND(SUM(K304:K310),5)</f>
        <v>3177</v>
      </c>
      <c r="L311" s="66"/>
      <c r="M311" s="70">
        <f>ROUND(SUM(M304:M310),5)</f>
        <v>5209</v>
      </c>
      <c r="N311" s="66"/>
      <c r="O311" s="70">
        <f>ROUND(SUM(O304:O310),5)</f>
        <v>5424.57</v>
      </c>
      <c r="P311" s="70"/>
      <c r="Q311" s="70">
        <f>ROUND(SUM(Q304:Q310),5)</f>
        <v>4690.43</v>
      </c>
      <c r="R311" s="70"/>
      <c r="S311" s="32">
        <f>ROUND(SUM(S304:S310),5)</f>
        <v>1873.01</v>
      </c>
      <c r="T311" s="29"/>
      <c r="U311" s="29"/>
      <c r="V311" s="26"/>
      <c r="W311" s="32">
        <f>ROUND(SUM(W304:W310),5)</f>
        <v>6718.91</v>
      </c>
      <c r="X311" s="26"/>
      <c r="Y311" s="32">
        <f>ROUND(SUM(Y304:Y310),5)</f>
        <v>4500</v>
      </c>
      <c r="AA311" s="32">
        <f>ROUND(SUM(AA304:AA310),5)</f>
        <v>3450</v>
      </c>
      <c r="AC311" s="70">
        <f t="shared" ref="AC311:AE311" si="345">ROUND(SUM(AC304:AC310),5)</f>
        <v>4052.8530000000001</v>
      </c>
      <c r="AD311" s="70">
        <f t="shared" si="345"/>
        <v>7397.19</v>
      </c>
      <c r="AE311" s="70">
        <f t="shared" si="345"/>
        <v>1518.85</v>
      </c>
      <c r="AG311" s="70">
        <f t="shared" ref="AG311:AI311" si="346">ROUND(SUM(AG304:AG310),5)</f>
        <v>2793.1170000000002</v>
      </c>
      <c r="AH311" s="70">
        <f t="shared" si="346"/>
        <v>-678.28</v>
      </c>
      <c r="AI311" s="70">
        <f t="shared" si="346"/>
        <v>5200.0600000000004</v>
      </c>
      <c r="AK311" s="70">
        <f t="shared" ref="AK311:AM311" si="347">ROUND(SUM(AK304:AK310),5)</f>
        <v>574.20699999999999</v>
      </c>
      <c r="AL311" s="70">
        <f t="shared" si="347"/>
        <v>-2897.19</v>
      </c>
      <c r="AM311" s="70">
        <f t="shared" si="347"/>
        <v>2981.15</v>
      </c>
    </row>
    <row r="312" spans="1:39" s="5" customFormat="1" x14ac:dyDescent="0.2">
      <c r="A312" s="64"/>
      <c r="B312" s="64"/>
      <c r="C312" s="64"/>
      <c r="D312" s="64"/>
      <c r="E312" s="73" t="s">
        <v>321</v>
      </c>
      <c r="F312" s="64"/>
      <c r="G312" s="64"/>
      <c r="H312" s="66"/>
      <c r="I312" s="66">
        <f>ROUND(I296+I303+I311,5)</f>
        <v>57490</v>
      </c>
      <c r="J312" s="66"/>
      <c r="K312" s="66">
        <f>ROUND(K296+K303+K311,5)</f>
        <v>55243</v>
      </c>
      <c r="L312" s="66"/>
      <c r="M312" s="66">
        <f>ROUND(M296+M303+M311,5)</f>
        <v>63728</v>
      </c>
      <c r="N312" s="66"/>
      <c r="O312" s="66">
        <f>ROUND(O296+O303+O311,5)</f>
        <v>66448.740000000005</v>
      </c>
      <c r="P312" s="66"/>
      <c r="Q312" s="66">
        <f>ROUND(Q296+Q303+Q311,5)</f>
        <v>64887.73</v>
      </c>
      <c r="R312" s="66"/>
      <c r="S312" s="26">
        <f>ROUND(S296+S303+S311,5)</f>
        <v>70200.31</v>
      </c>
      <c r="T312" s="26"/>
      <c r="U312" s="26"/>
      <c r="V312" s="26"/>
      <c r="W312" s="26">
        <f>ROUND(W296+W303+W311,5)</f>
        <v>44580.58</v>
      </c>
      <c r="X312" s="26"/>
      <c r="Y312" s="26">
        <f>ROUND(Y296+Y303+Y311,5)</f>
        <v>78308</v>
      </c>
      <c r="AA312" s="26">
        <f>ROUND(AA296+AA303+AA311,5)</f>
        <v>100006.53780000001</v>
      </c>
      <c r="AC312" s="66">
        <f t="shared" ref="AC312:AE312" si="348">ROUND(AC296+AC303+AC311,5)</f>
        <v>63911.408329999998</v>
      </c>
      <c r="AD312" s="66">
        <f t="shared" si="348"/>
        <v>81085.2</v>
      </c>
      <c r="AE312" s="66">
        <f t="shared" si="348"/>
        <v>45223.35</v>
      </c>
      <c r="AG312" s="66">
        <f t="shared" ref="AG312:AI312" si="349">ROUND(AG296+AG303+AG311,5)</f>
        <v>-19203.768329999999</v>
      </c>
      <c r="AH312" s="66">
        <f t="shared" si="349"/>
        <v>-36504.620000000003</v>
      </c>
      <c r="AI312" s="66">
        <f t="shared" si="349"/>
        <v>-642.77</v>
      </c>
      <c r="AK312" s="66">
        <f t="shared" ref="AK312:AM312" si="350">ROUND(AK296+AK303+AK311,5)</f>
        <v>13784.555</v>
      </c>
      <c r="AL312" s="66">
        <f t="shared" si="350"/>
        <v>2195.5100000000002</v>
      </c>
      <c r="AM312" s="66">
        <f t="shared" si="350"/>
        <v>29224.65</v>
      </c>
    </row>
    <row r="313" spans="1:39" s="5" customFormat="1" x14ac:dyDescent="0.2">
      <c r="A313" s="64"/>
      <c r="B313" s="64"/>
      <c r="C313" s="64"/>
      <c r="D313" s="64"/>
      <c r="E313" s="64"/>
      <c r="F313" s="64"/>
      <c r="G313" s="64"/>
      <c r="H313" s="66"/>
      <c r="I313" s="66"/>
      <c r="J313" s="66"/>
      <c r="K313" s="66"/>
      <c r="L313" s="66"/>
      <c r="M313" s="66"/>
      <c r="N313" s="66"/>
      <c r="O313" s="66"/>
      <c r="P313" s="66"/>
      <c r="Q313" s="66"/>
      <c r="R313" s="66"/>
      <c r="S313" s="26"/>
      <c r="T313" s="26"/>
      <c r="U313" s="26"/>
      <c r="V313" s="26"/>
      <c r="W313" s="26"/>
      <c r="X313" s="26"/>
      <c r="Y313" s="26"/>
      <c r="AA313" s="26"/>
      <c r="AC313" s="66"/>
      <c r="AD313" s="66"/>
      <c r="AE313" s="66"/>
      <c r="AG313" s="66"/>
      <c r="AH313" s="66"/>
      <c r="AI313" s="66"/>
      <c r="AK313" s="66"/>
      <c r="AL313" s="66"/>
      <c r="AM313" s="66"/>
    </row>
    <row r="314" spans="1:39" s="5" customFormat="1" x14ac:dyDescent="0.2">
      <c r="A314" s="64"/>
      <c r="B314" s="64"/>
      <c r="C314" s="64"/>
      <c r="D314" s="64"/>
      <c r="E314" s="73" t="s">
        <v>322</v>
      </c>
      <c r="F314" s="64"/>
      <c r="G314" s="73"/>
      <c r="H314" s="66"/>
      <c r="I314" s="66"/>
      <c r="J314" s="66"/>
      <c r="K314" s="66"/>
      <c r="L314" s="66"/>
      <c r="M314" s="66"/>
      <c r="N314" s="66"/>
      <c r="O314" s="66"/>
      <c r="P314" s="66"/>
      <c r="Q314" s="66"/>
      <c r="R314" s="66"/>
      <c r="S314" s="26"/>
      <c r="T314" s="26"/>
      <c r="U314" s="26"/>
      <c r="V314" s="26"/>
      <c r="W314" s="26"/>
      <c r="X314" s="26"/>
      <c r="Y314" s="26"/>
      <c r="AA314" s="26"/>
      <c r="AC314" s="66"/>
      <c r="AD314" s="66"/>
      <c r="AE314" s="66"/>
      <c r="AG314" s="66"/>
      <c r="AH314" s="66"/>
      <c r="AI314" s="66"/>
      <c r="AK314" s="66"/>
      <c r="AL314" s="66"/>
      <c r="AM314" s="66"/>
    </row>
    <row r="315" spans="1:39" s="5" customFormat="1" x14ac:dyDescent="0.2">
      <c r="A315" s="64"/>
      <c r="B315" s="64"/>
      <c r="C315" s="64"/>
      <c r="D315" s="64"/>
      <c r="E315" s="64"/>
      <c r="F315" s="64" t="s">
        <v>323</v>
      </c>
      <c r="G315" s="64"/>
      <c r="H315" s="66"/>
      <c r="I315" s="66"/>
      <c r="J315" s="66"/>
      <c r="K315" s="66"/>
      <c r="L315" s="66"/>
      <c r="M315" s="66"/>
      <c r="N315" s="66"/>
      <c r="O315" s="66"/>
      <c r="P315" s="66"/>
      <c r="Q315" s="66"/>
      <c r="R315" s="66"/>
      <c r="S315" s="26"/>
      <c r="T315" s="26"/>
      <c r="U315" s="26"/>
      <c r="V315" s="26"/>
      <c r="W315" s="26"/>
      <c r="X315" s="26"/>
      <c r="Y315" s="26"/>
      <c r="AA315" s="26"/>
      <c r="AC315" s="66"/>
      <c r="AD315" s="66"/>
      <c r="AE315" s="66"/>
      <c r="AG315" s="66"/>
      <c r="AH315" s="66"/>
      <c r="AI315" s="66"/>
      <c r="AK315" s="66"/>
      <c r="AL315" s="66"/>
      <c r="AM315" s="66"/>
    </row>
    <row r="316" spans="1:39" s="5" customFormat="1" x14ac:dyDescent="0.2">
      <c r="A316" s="64"/>
      <c r="B316" s="64"/>
      <c r="C316" s="64"/>
      <c r="D316" s="64"/>
      <c r="E316" s="64"/>
      <c r="F316" s="64"/>
      <c r="G316" s="68" t="s">
        <v>324</v>
      </c>
      <c r="H316" s="66"/>
      <c r="I316" s="66">
        <v>275480</v>
      </c>
      <c r="J316" s="66"/>
      <c r="K316" s="66">
        <v>295049</v>
      </c>
      <c r="L316" s="66"/>
      <c r="M316" s="66">
        <v>272772</v>
      </c>
      <c r="N316" s="66"/>
      <c r="O316" s="66">
        <v>295921.73</v>
      </c>
      <c r="P316" s="66"/>
      <c r="Q316" s="66">
        <v>317178.53000000003</v>
      </c>
      <c r="R316" s="66"/>
      <c r="S316" s="26">
        <v>322865.61</v>
      </c>
      <c r="T316" s="26"/>
      <c r="U316" s="26"/>
      <c r="V316" s="26"/>
      <c r="W316" s="26">
        <v>338587.45</v>
      </c>
      <c r="X316" s="26"/>
      <c r="Y316" s="26">
        <v>343256</v>
      </c>
      <c r="AA316" s="26">
        <v>350000</v>
      </c>
      <c r="AC316" s="66">
        <f t="shared" ref="AC316:AC320" si="351">AVERAGE(K316:S316)</f>
        <v>300757.37400000001</v>
      </c>
      <c r="AD316" s="66">
        <f>MAX(K316:S316)</f>
        <v>322865.61</v>
      </c>
      <c r="AE316" s="66">
        <f>MIN(K316:S316)</f>
        <v>272772</v>
      </c>
      <c r="AG316" s="66">
        <f t="shared" ref="AG316:AG320" si="352">+W316-AC316</f>
        <v>37830.076000000001</v>
      </c>
      <c r="AH316" s="66">
        <f t="shared" ref="AH316:AH320" si="353">+W316-AD316</f>
        <v>15721.840000000026</v>
      </c>
      <c r="AI316" s="66">
        <f t="shared" ref="AI316:AI320" si="354">+W316-AE316</f>
        <v>65815.450000000012</v>
      </c>
      <c r="AK316" s="66">
        <f t="shared" ref="AK316:AK320" si="355">+Y316-AC316</f>
        <v>42498.625999999989</v>
      </c>
      <c r="AL316" s="66">
        <f t="shared" ref="AL316:AL320" si="356">+Y316-AD316</f>
        <v>20390.390000000014</v>
      </c>
      <c r="AM316" s="66">
        <f t="shared" ref="AM316:AM320" si="357">+Y316-AE316</f>
        <v>70484</v>
      </c>
    </row>
    <row r="317" spans="1:39" s="5" customFormat="1" x14ac:dyDescent="0.2">
      <c r="A317" s="64"/>
      <c r="B317" s="64"/>
      <c r="C317" s="64"/>
      <c r="D317" s="64"/>
      <c r="E317" s="64"/>
      <c r="F317" s="64"/>
      <c r="G317" s="68" t="s">
        <v>325</v>
      </c>
      <c r="H317" s="66"/>
      <c r="I317" s="66">
        <v>28394</v>
      </c>
      <c r="J317" s="66"/>
      <c r="K317" s="66">
        <v>29064</v>
      </c>
      <c r="L317" s="66"/>
      <c r="M317" s="66">
        <v>25994</v>
      </c>
      <c r="N317" s="66"/>
      <c r="O317" s="66">
        <v>27839.02</v>
      </c>
      <c r="P317" s="66"/>
      <c r="Q317" s="66">
        <v>29379.65</v>
      </c>
      <c r="R317" s="66"/>
      <c r="S317" s="26">
        <v>30068.21</v>
      </c>
      <c r="T317" s="26"/>
      <c r="U317" s="26"/>
      <c r="V317" s="26"/>
      <c r="W317" s="26">
        <v>32037.91</v>
      </c>
      <c r="X317" s="26"/>
      <c r="Y317" s="26">
        <v>26259</v>
      </c>
      <c r="AA317" s="26">
        <f>+AA316*7.65%</f>
        <v>26775</v>
      </c>
      <c r="AC317" s="66">
        <f t="shared" si="351"/>
        <v>28468.976000000002</v>
      </c>
      <c r="AD317" s="66">
        <f>MAX(K317:S317)</f>
        <v>30068.21</v>
      </c>
      <c r="AE317" s="66">
        <f>MIN(K317:S317)</f>
        <v>25994</v>
      </c>
      <c r="AG317" s="66">
        <f t="shared" si="352"/>
        <v>3568.9339999999975</v>
      </c>
      <c r="AH317" s="66">
        <f t="shared" si="353"/>
        <v>1969.7000000000007</v>
      </c>
      <c r="AI317" s="66">
        <f t="shared" si="354"/>
        <v>6043.91</v>
      </c>
      <c r="AK317" s="66">
        <f t="shared" si="355"/>
        <v>-2209.9760000000024</v>
      </c>
      <c r="AL317" s="66">
        <f t="shared" si="356"/>
        <v>-3809.2099999999991</v>
      </c>
      <c r="AM317" s="66">
        <f t="shared" si="357"/>
        <v>265</v>
      </c>
    </row>
    <row r="318" spans="1:39" s="5" customFormat="1" x14ac:dyDescent="0.2">
      <c r="A318" s="64"/>
      <c r="B318" s="64"/>
      <c r="C318" s="64"/>
      <c r="D318" s="64"/>
      <c r="E318" s="64"/>
      <c r="F318" s="64"/>
      <c r="G318" s="64" t="s">
        <v>326</v>
      </c>
      <c r="H318" s="66"/>
      <c r="I318" s="66">
        <v>494</v>
      </c>
      <c r="J318" s="66"/>
      <c r="K318" s="66">
        <v>502</v>
      </c>
      <c r="L318" s="66"/>
      <c r="M318" s="66">
        <v>105</v>
      </c>
      <c r="N318" s="66"/>
      <c r="O318" s="66">
        <v>418.8</v>
      </c>
      <c r="P318" s="66"/>
      <c r="Q318" s="66">
        <v>383.9</v>
      </c>
      <c r="R318" s="66"/>
      <c r="S318" s="26">
        <v>418.81</v>
      </c>
      <c r="T318" s="26"/>
      <c r="U318" s="26"/>
      <c r="V318" s="26"/>
      <c r="W318" s="26">
        <v>372.8</v>
      </c>
      <c r="X318" s="26"/>
      <c r="Y318" s="26">
        <v>419</v>
      </c>
      <c r="AA318" s="26">
        <v>704</v>
      </c>
      <c r="AC318" s="66">
        <f t="shared" si="351"/>
        <v>365.70199999999994</v>
      </c>
      <c r="AD318" s="66">
        <f>MAX(K318:S318)</f>
        <v>502</v>
      </c>
      <c r="AE318" s="66">
        <f>MIN(K318:S318)</f>
        <v>105</v>
      </c>
      <c r="AG318" s="66">
        <f t="shared" si="352"/>
        <v>7.09800000000007</v>
      </c>
      <c r="AH318" s="66">
        <f t="shared" si="353"/>
        <v>-129.19999999999999</v>
      </c>
      <c r="AI318" s="66">
        <f t="shared" si="354"/>
        <v>267.8</v>
      </c>
      <c r="AK318" s="66">
        <f t="shared" si="355"/>
        <v>53.298000000000059</v>
      </c>
      <c r="AL318" s="66">
        <f t="shared" si="356"/>
        <v>-83</v>
      </c>
      <c r="AM318" s="66">
        <f t="shared" si="357"/>
        <v>314</v>
      </c>
    </row>
    <row r="319" spans="1:39" s="43" customFormat="1" x14ac:dyDescent="0.2">
      <c r="A319" s="64"/>
      <c r="B319" s="64"/>
      <c r="C319" s="64"/>
      <c r="D319" s="64"/>
      <c r="E319" s="64"/>
      <c r="F319" s="64"/>
      <c r="G319" s="64" t="s">
        <v>327</v>
      </c>
      <c r="H319" s="69"/>
      <c r="I319" s="69">
        <v>6327</v>
      </c>
      <c r="J319" s="69"/>
      <c r="K319" s="69">
        <v>12453</v>
      </c>
      <c r="L319" s="69"/>
      <c r="M319" s="69">
        <v>3778</v>
      </c>
      <c r="N319" s="69"/>
      <c r="O319" s="69">
        <v>13084.44</v>
      </c>
      <c r="P319" s="69"/>
      <c r="Q319" s="66">
        <v>1994.26</v>
      </c>
      <c r="R319" s="66"/>
      <c r="S319" s="26">
        <v>6956.1</v>
      </c>
      <c r="T319" s="29"/>
      <c r="U319" s="29"/>
      <c r="V319" s="29"/>
      <c r="W319" s="26">
        <v>5783.4</v>
      </c>
      <c r="X319" s="29"/>
      <c r="Y319" s="29">
        <v>6950</v>
      </c>
      <c r="AA319" s="29">
        <v>5500</v>
      </c>
      <c r="AC319" s="69">
        <f t="shared" si="351"/>
        <v>7653.1600000000008</v>
      </c>
      <c r="AD319" s="69">
        <f>MAX(K319:S319)</f>
        <v>13084.44</v>
      </c>
      <c r="AE319" s="69">
        <f>MIN(K319:S319)</f>
        <v>1994.26</v>
      </c>
      <c r="AF319" s="5"/>
      <c r="AG319" s="69">
        <f t="shared" si="352"/>
        <v>-1869.7600000000011</v>
      </c>
      <c r="AH319" s="69">
        <f t="shared" si="353"/>
        <v>-7301.0400000000009</v>
      </c>
      <c r="AI319" s="69">
        <f t="shared" si="354"/>
        <v>3789.1399999999994</v>
      </c>
      <c r="AJ319" s="5"/>
      <c r="AK319" s="69">
        <f t="shared" si="355"/>
        <v>-703.16000000000076</v>
      </c>
      <c r="AL319" s="69">
        <f t="shared" si="356"/>
        <v>-6134.4400000000005</v>
      </c>
      <c r="AM319" s="69">
        <f t="shared" si="357"/>
        <v>4955.74</v>
      </c>
    </row>
    <row r="320" spans="1:39" s="5" customFormat="1" ht="12" thickBot="1" x14ac:dyDescent="0.25">
      <c r="A320" s="64"/>
      <c r="B320" s="64"/>
      <c r="C320" s="64"/>
      <c r="D320" s="64"/>
      <c r="E320" s="64"/>
      <c r="F320" s="64"/>
      <c r="G320" s="68" t="s">
        <v>291</v>
      </c>
      <c r="H320" s="66"/>
      <c r="I320" s="71"/>
      <c r="J320" s="66"/>
      <c r="K320" s="71"/>
      <c r="L320" s="66"/>
      <c r="M320" s="71"/>
      <c r="N320" s="66"/>
      <c r="O320" s="71"/>
      <c r="P320" s="71"/>
      <c r="Q320" s="71">
        <v>0</v>
      </c>
      <c r="R320" s="71"/>
      <c r="S320" s="35">
        <v>20323.919999999998</v>
      </c>
      <c r="T320" s="29"/>
      <c r="U320" s="29"/>
      <c r="V320" s="26"/>
      <c r="W320" s="35">
        <v>10035.91</v>
      </c>
      <c r="X320" s="26"/>
      <c r="Y320" s="35">
        <v>21420</v>
      </c>
      <c r="AA320" s="35">
        <v>21840</v>
      </c>
      <c r="AC320" s="71">
        <f t="shared" si="351"/>
        <v>10161.959999999999</v>
      </c>
      <c r="AD320" s="71">
        <f>MAX(K320:S320)</f>
        <v>20323.919999999998</v>
      </c>
      <c r="AE320" s="71">
        <f>MIN(K320:S320)</f>
        <v>0</v>
      </c>
      <c r="AG320" s="71">
        <f t="shared" si="352"/>
        <v>-126.04999999999927</v>
      </c>
      <c r="AH320" s="71">
        <f t="shared" si="353"/>
        <v>-10288.009999999998</v>
      </c>
      <c r="AI320" s="71">
        <f t="shared" si="354"/>
        <v>10035.91</v>
      </c>
      <c r="AK320" s="71">
        <f t="shared" si="355"/>
        <v>11258.04</v>
      </c>
      <c r="AL320" s="71">
        <f t="shared" si="356"/>
        <v>1096.0800000000017</v>
      </c>
      <c r="AM320" s="71">
        <f t="shared" si="357"/>
        <v>21420</v>
      </c>
    </row>
    <row r="321" spans="1:39" s="5" customFormat="1" x14ac:dyDescent="0.2">
      <c r="A321" s="64"/>
      <c r="B321" s="64"/>
      <c r="C321" s="64"/>
      <c r="D321" s="64"/>
      <c r="E321" s="64"/>
      <c r="F321" s="64" t="s">
        <v>328</v>
      </c>
      <c r="G321" s="64"/>
      <c r="H321" s="66"/>
      <c r="I321" s="66">
        <f>ROUND(SUM(I315:I320),5)</f>
        <v>310695</v>
      </c>
      <c r="J321" s="66"/>
      <c r="K321" s="66">
        <f>ROUND(SUM(K315:K320),5)</f>
        <v>337068</v>
      </c>
      <c r="L321" s="66"/>
      <c r="M321" s="66">
        <f>ROUND(SUM(M315:M320),5)</f>
        <v>302649</v>
      </c>
      <c r="N321" s="66"/>
      <c r="O321" s="66">
        <f>ROUND(SUM(O315:O320),5)</f>
        <v>337263.99</v>
      </c>
      <c r="P321" s="66"/>
      <c r="Q321" s="66">
        <f>ROUND(SUM(Q315:Q320),5)</f>
        <v>348936.34</v>
      </c>
      <c r="R321" s="66"/>
      <c r="S321" s="26">
        <f>ROUND(SUM(S315:S320),5)</f>
        <v>380632.65</v>
      </c>
      <c r="T321" s="26"/>
      <c r="U321" s="26"/>
      <c r="V321" s="26"/>
      <c r="W321" s="26">
        <f>ROUND(SUM(W315:W320),5)</f>
        <v>386817.47</v>
      </c>
      <c r="X321" s="26"/>
      <c r="Y321" s="26">
        <f>ROUND(SUM(Y315:Y320),5)</f>
        <v>398304</v>
      </c>
      <c r="AA321" s="26">
        <f>ROUND(SUM(AA315:AA320),5)</f>
        <v>404819</v>
      </c>
      <c r="AC321" s="66">
        <f t="shared" ref="AC321:AE321" si="358">ROUND(SUM(AC315:AC320),5)</f>
        <v>347407.17200000002</v>
      </c>
      <c r="AD321" s="66">
        <f t="shared" si="358"/>
        <v>386844.18</v>
      </c>
      <c r="AE321" s="66">
        <f t="shared" si="358"/>
        <v>300865.26</v>
      </c>
      <c r="AG321" s="66">
        <f t="shared" ref="AG321:AI321" si="359">ROUND(SUM(AG315:AG320),5)</f>
        <v>39410.298000000003</v>
      </c>
      <c r="AH321" s="66">
        <f t="shared" si="359"/>
        <v>-26.71</v>
      </c>
      <c r="AI321" s="66">
        <f t="shared" si="359"/>
        <v>85952.21</v>
      </c>
      <c r="AK321" s="66">
        <f t="shared" ref="AK321:AM321" si="360">ROUND(SUM(AK315:AK320),5)</f>
        <v>50896.828000000001</v>
      </c>
      <c r="AL321" s="66">
        <f t="shared" si="360"/>
        <v>11459.82</v>
      </c>
      <c r="AM321" s="66">
        <f t="shared" si="360"/>
        <v>97438.74</v>
      </c>
    </row>
    <row r="322" spans="1:39" s="5" customFormat="1" x14ac:dyDescent="0.2">
      <c r="A322" s="64"/>
      <c r="B322" s="64"/>
      <c r="C322" s="64"/>
      <c r="D322" s="64"/>
      <c r="E322" s="64"/>
      <c r="F322" s="64" t="s">
        <v>329</v>
      </c>
      <c r="G322" s="64"/>
      <c r="H322" s="66"/>
      <c r="I322" s="66"/>
      <c r="J322" s="66"/>
      <c r="K322" s="66"/>
      <c r="L322" s="66"/>
      <c r="M322" s="66"/>
      <c r="N322" s="66"/>
      <c r="O322" s="66"/>
      <c r="P322" s="66"/>
      <c r="Q322" s="66"/>
      <c r="R322" s="66"/>
      <c r="S322" s="26"/>
      <c r="T322" s="26"/>
      <c r="U322" s="26"/>
      <c r="V322" s="26"/>
      <c r="W322" s="26"/>
      <c r="X322" s="26"/>
      <c r="Y322" s="26"/>
      <c r="AA322" s="26"/>
      <c r="AC322" s="66"/>
      <c r="AD322" s="66"/>
      <c r="AE322" s="66"/>
      <c r="AG322" s="66"/>
      <c r="AH322" s="66"/>
      <c r="AI322" s="66"/>
      <c r="AK322" s="66"/>
      <c r="AL322" s="66"/>
      <c r="AM322" s="66"/>
    </row>
    <row r="323" spans="1:39" s="5" customFormat="1" x14ac:dyDescent="0.2">
      <c r="A323" s="64"/>
      <c r="B323" s="64"/>
      <c r="C323" s="64"/>
      <c r="D323" s="64"/>
      <c r="E323" s="64"/>
      <c r="F323" s="64"/>
      <c r="G323" s="64" t="s">
        <v>330</v>
      </c>
      <c r="H323" s="66"/>
      <c r="I323" s="66">
        <v>4852</v>
      </c>
      <c r="J323" s="66"/>
      <c r="K323" s="66">
        <v>5435</v>
      </c>
      <c r="L323" s="66"/>
      <c r="M323" s="66">
        <v>4616</v>
      </c>
      <c r="N323" s="66"/>
      <c r="O323" s="66">
        <v>1351</v>
      </c>
      <c r="P323" s="66"/>
      <c r="Q323" s="66">
        <v>7479.39</v>
      </c>
      <c r="R323" s="66"/>
      <c r="S323" s="29">
        <v>7193.68</v>
      </c>
      <c r="T323" s="29"/>
      <c r="U323" s="29"/>
      <c r="V323" s="29"/>
      <c r="W323" s="29">
        <v>6187.43</v>
      </c>
      <c r="X323" s="26"/>
      <c r="Y323" s="26">
        <v>7600</v>
      </c>
      <c r="AA323" s="26">
        <v>10177.969999999999</v>
      </c>
      <c r="AC323" s="66">
        <f t="shared" ref="AC323:AC326" si="361">AVERAGE(K323:S323)</f>
        <v>5215.0140000000001</v>
      </c>
      <c r="AD323" s="66">
        <f>MAX(K323:S323)</f>
        <v>7479.39</v>
      </c>
      <c r="AE323" s="66">
        <f>MIN(K323:S323)</f>
        <v>1351</v>
      </c>
      <c r="AG323" s="66">
        <f t="shared" ref="AG323:AG326" si="362">+W323-AC323</f>
        <v>972.41600000000017</v>
      </c>
      <c r="AH323" s="66">
        <f t="shared" ref="AH323:AH326" si="363">+W323-AD323</f>
        <v>-1291.96</v>
      </c>
      <c r="AI323" s="66">
        <f t="shared" ref="AI323:AI326" si="364">+W323-AE323</f>
        <v>4836.43</v>
      </c>
      <c r="AK323" s="66">
        <f t="shared" ref="AK323:AK326" si="365">+Y323-AC323</f>
        <v>2384.9859999999999</v>
      </c>
      <c r="AL323" s="66">
        <f t="shared" ref="AL323:AL326" si="366">+Y323-AD323</f>
        <v>120.60999999999967</v>
      </c>
      <c r="AM323" s="66">
        <f t="shared" ref="AM323:AM326" si="367">+Y323-AE323</f>
        <v>6249</v>
      </c>
    </row>
    <row r="324" spans="1:39" s="5" customFormat="1" x14ac:dyDescent="0.2">
      <c r="A324" s="64"/>
      <c r="B324" s="64"/>
      <c r="C324" s="64"/>
      <c r="D324" s="64"/>
      <c r="E324" s="64"/>
      <c r="F324" s="64"/>
      <c r="G324" s="64" t="s">
        <v>331</v>
      </c>
      <c r="H324" s="66"/>
      <c r="I324" s="66"/>
      <c r="J324" s="66"/>
      <c r="K324" s="66"/>
      <c r="L324" s="66"/>
      <c r="M324" s="66"/>
      <c r="N324" s="66"/>
      <c r="O324" s="66"/>
      <c r="P324" s="66"/>
      <c r="Q324" s="66">
        <v>300</v>
      </c>
      <c r="R324" s="66"/>
      <c r="S324" s="29">
        <v>200</v>
      </c>
      <c r="T324" s="29"/>
      <c r="U324" s="29"/>
      <c r="V324" s="29"/>
      <c r="W324" s="29">
        <v>850</v>
      </c>
      <c r="X324" s="26"/>
      <c r="Y324" s="26">
        <v>400</v>
      </c>
      <c r="AA324" s="26">
        <v>850</v>
      </c>
      <c r="AC324" s="66">
        <f t="shared" si="361"/>
        <v>250</v>
      </c>
      <c r="AD324" s="66">
        <f>MAX(K324:S324)</f>
        <v>300</v>
      </c>
      <c r="AE324" s="66">
        <f>MIN(K324:S324)</f>
        <v>200</v>
      </c>
      <c r="AG324" s="66">
        <f t="shared" si="362"/>
        <v>600</v>
      </c>
      <c r="AH324" s="66">
        <f t="shared" si="363"/>
        <v>550</v>
      </c>
      <c r="AI324" s="66">
        <f t="shared" si="364"/>
        <v>650</v>
      </c>
      <c r="AK324" s="66">
        <f t="shared" si="365"/>
        <v>150</v>
      </c>
      <c r="AL324" s="66">
        <f t="shared" si="366"/>
        <v>100</v>
      </c>
      <c r="AM324" s="66">
        <f t="shared" si="367"/>
        <v>200</v>
      </c>
    </row>
    <row r="325" spans="1:39" s="5" customFormat="1" x14ac:dyDescent="0.2">
      <c r="A325" s="64"/>
      <c r="B325" s="64"/>
      <c r="C325" s="64"/>
      <c r="D325" s="64"/>
      <c r="E325" s="64"/>
      <c r="F325" s="64"/>
      <c r="G325" s="64" t="s">
        <v>332</v>
      </c>
      <c r="H325" s="66"/>
      <c r="I325" s="66">
        <v>3384</v>
      </c>
      <c r="J325" s="66"/>
      <c r="K325" s="66">
        <v>4346</v>
      </c>
      <c r="L325" s="66"/>
      <c r="M325" s="66">
        <v>3176</v>
      </c>
      <c r="N325" s="66"/>
      <c r="O325" s="66"/>
      <c r="P325" s="66"/>
      <c r="Q325" s="66">
        <v>1157.33</v>
      </c>
      <c r="R325" s="66"/>
      <c r="S325" s="29">
        <v>3135.99</v>
      </c>
      <c r="T325" s="29"/>
      <c r="U325" s="29"/>
      <c r="V325" s="29"/>
      <c r="W325" s="29">
        <v>2838.31</v>
      </c>
      <c r="X325" s="26"/>
      <c r="Y325" s="26">
        <v>4000</v>
      </c>
      <c r="AA325" s="26">
        <v>3000</v>
      </c>
      <c r="AC325" s="66">
        <f t="shared" si="361"/>
        <v>2953.83</v>
      </c>
      <c r="AD325" s="66">
        <f>MAX(K325:S325)</f>
        <v>4346</v>
      </c>
      <c r="AE325" s="66">
        <f>MIN(K325:S325)</f>
        <v>1157.33</v>
      </c>
      <c r="AG325" s="66">
        <f t="shared" si="362"/>
        <v>-115.51999999999998</v>
      </c>
      <c r="AH325" s="66">
        <f t="shared" si="363"/>
        <v>-1507.69</v>
      </c>
      <c r="AI325" s="66">
        <f t="shared" si="364"/>
        <v>1680.98</v>
      </c>
      <c r="AK325" s="66">
        <f t="shared" si="365"/>
        <v>1046.17</v>
      </c>
      <c r="AL325" s="66">
        <f t="shared" si="366"/>
        <v>-346</v>
      </c>
      <c r="AM325" s="66">
        <f t="shared" si="367"/>
        <v>2842.67</v>
      </c>
    </row>
    <row r="326" spans="1:39" s="5" customFormat="1" ht="12" thickBot="1" x14ac:dyDescent="0.25">
      <c r="A326" s="64"/>
      <c r="B326" s="64"/>
      <c r="C326" s="64"/>
      <c r="D326" s="64"/>
      <c r="E326" s="64"/>
      <c r="F326" s="64"/>
      <c r="G326" s="64" t="s">
        <v>333</v>
      </c>
      <c r="H326" s="66"/>
      <c r="I326" s="71"/>
      <c r="J326" s="66"/>
      <c r="K326" s="71"/>
      <c r="L326" s="66"/>
      <c r="M326" s="71"/>
      <c r="N326" s="66"/>
      <c r="O326" s="71"/>
      <c r="P326" s="71"/>
      <c r="Q326" s="71">
        <v>5</v>
      </c>
      <c r="R326" s="71"/>
      <c r="S326" s="35"/>
      <c r="T326" s="29"/>
      <c r="U326" s="29"/>
      <c r="V326" s="26"/>
      <c r="W326" s="35"/>
      <c r="X326" s="26"/>
      <c r="Y326" s="35">
        <v>0</v>
      </c>
      <c r="AA326" s="35"/>
      <c r="AC326" s="71">
        <f t="shared" si="361"/>
        <v>5</v>
      </c>
      <c r="AD326" s="71">
        <f>MAX(K326:S326)</f>
        <v>5</v>
      </c>
      <c r="AE326" s="71">
        <f>MIN(K326:S326)</f>
        <v>5</v>
      </c>
      <c r="AG326" s="71">
        <f t="shared" si="362"/>
        <v>-5</v>
      </c>
      <c r="AH326" s="71">
        <f t="shared" si="363"/>
        <v>-5</v>
      </c>
      <c r="AI326" s="71">
        <f t="shared" si="364"/>
        <v>-5</v>
      </c>
      <c r="AK326" s="71">
        <f t="shared" si="365"/>
        <v>-5</v>
      </c>
      <c r="AL326" s="71">
        <f t="shared" si="366"/>
        <v>-5</v>
      </c>
      <c r="AM326" s="71">
        <f t="shared" si="367"/>
        <v>-5</v>
      </c>
    </row>
    <row r="327" spans="1:39" s="5" customFormat="1" x14ac:dyDescent="0.2">
      <c r="A327" s="64"/>
      <c r="B327" s="64"/>
      <c r="C327" s="64"/>
      <c r="D327" s="64"/>
      <c r="E327" s="64"/>
      <c r="F327" s="64" t="s">
        <v>334</v>
      </c>
      <c r="G327" s="64"/>
      <c r="H327" s="66"/>
      <c r="I327" s="66">
        <f>ROUND(SUM(I322:I326),5)</f>
        <v>8236</v>
      </c>
      <c r="J327" s="66"/>
      <c r="K327" s="66">
        <f>ROUND(SUM(K322:K326),5)</f>
        <v>9781</v>
      </c>
      <c r="L327" s="66"/>
      <c r="M327" s="66">
        <f>ROUND(SUM(M322:M326),5)</f>
        <v>7792</v>
      </c>
      <c r="N327" s="66"/>
      <c r="O327" s="66">
        <f>ROUND(SUM(O322:O326),5)</f>
        <v>1351</v>
      </c>
      <c r="P327" s="66"/>
      <c r="Q327" s="66">
        <f>ROUND(SUM(Q322:Q326),5)</f>
        <v>8941.7199999999993</v>
      </c>
      <c r="R327" s="66"/>
      <c r="S327" s="26">
        <f>ROUND(SUM(S322:S326),5)</f>
        <v>10529.67</v>
      </c>
      <c r="T327" s="26"/>
      <c r="U327" s="26"/>
      <c r="V327" s="26"/>
      <c r="W327" s="26">
        <f>ROUND(SUM(W322:W326),5)</f>
        <v>9875.74</v>
      </c>
      <c r="X327" s="26"/>
      <c r="Y327" s="26">
        <f>ROUND(SUM(Y322:Y326),5)</f>
        <v>12000</v>
      </c>
      <c r="AA327" s="26">
        <f>ROUND(SUM(AA322:AA326),5)</f>
        <v>14027.97</v>
      </c>
      <c r="AC327" s="66">
        <f t="shared" ref="AC327:AE327" si="368">ROUND(SUM(AC322:AC326),5)</f>
        <v>8423.8439999999991</v>
      </c>
      <c r="AD327" s="66">
        <f t="shared" si="368"/>
        <v>12130.39</v>
      </c>
      <c r="AE327" s="66">
        <f t="shared" si="368"/>
        <v>2713.33</v>
      </c>
      <c r="AG327" s="66">
        <f t="shared" ref="AG327:AI327" si="369">ROUND(SUM(AG322:AG326),5)</f>
        <v>1451.896</v>
      </c>
      <c r="AH327" s="66">
        <f t="shared" si="369"/>
        <v>-2254.65</v>
      </c>
      <c r="AI327" s="66">
        <f t="shared" si="369"/>
        <v>7162.41</v>
      </c>
      <c r="AK327" s="66">
        <f t="shared" ref="AK327:AM327" si="370">ROUND(SUM(AK322:AK326),5)</f>
        <v>3576.1559999999999</v>
      </c>
      <c r="AL327" s="66">
        <f t="shared" si="370"/>
        <v>-130.38999999999999</v>
      </c>
      <c r="AM327" s="66">
        <f t="shared" si="370"/>
        <v>9286.67</v>
      </c>
    </row>
    <row r="328" spans="1:39" s="5" customFormat="1" x14ac:dyDescent="0.2">
      <c r="A328" s="64"/>
      <c r="B328" s="64"/>
      <c r="C328" s="64"/>
      <c r="D328" s="64"/>
      <c r="E328" s="64"/>
      <c r="F328" s="64" t="s">
        <v>335</v>
      </c>
      <c r="G328" s="64"/>
      <c r="H328" s="66"/>
      <c r="I328" s="66"/>
      <c r="J328" s="66"/>
      <c r="K328" s="66"/>
      <c r="L328" s="66"/>
      <c r="M328" s="66"/>
      <c r="N328" s="66"/>
      <c r="O328" s="66"/>
      <c r="P328" s="66"/>
      <c r="Q328" s="66"/>
      <c r="R328" s="66"/>
      <c r="S328" s="26"/>
      <c r="T328" s="26"/>
      <c r="U328" s="26"/>
      <c r="V328" s="26"/>
      <c r="W328" s="26"/>
      <c r="X328" s="26"/>
      <c r="Y328" s="26"/>
      <c r="AA328" s="26"/>
      <c r="AC328" s="66"/>
      <c r="AD328" s="66"/>
      <c r="AE328" s="66"/>
      <c r="AG328" s="66"/>
      <c r="AH328" s="66"/>
      <c r="AI328" s="66"/>
      <c r="AK328" s="66"/>
      <c r="AL328" s="66"/>
      <c r="AM328" s="66"/>
    </row>
    <row r="329" spans="1:39" s="5" customFormat="1" x14ac:dyDescent="0.2">
      <c r="A329" s="64"/>
      <c r="B329" s="64"/>
      <c r="C329" s="64"/>
      <c r="D329" s="64"/>
      <c r="E329" s="64"/>
      <c r="F329" s="64"/>
      <c r="G329" s="64" t="s">
        <v>336</v>
      </c>
      <c r="H329" s="66"/>
      <c r="I329" s="66">
        <v>601</v>
      </c>
      <c r="J329" s="66"/>
      <c r="K329" s="66">
        <v>605</v>
      </c>
      <c r="L329" s="66"/>
      <c r="M329" s="66">
        <v>250</v>
      </c>
      <c r="N329" s="66"/>
      <c r="O329" s="66">
        <v>600.14</v>
      </c>
      <c r="P329" s="66"/>
      <c r="Q329" s="69">
        <v>459.69</v>
      </c>
      <c r="R329" s="69"/>
      <c r="S329" s="26">
        <v>552.71</v>
      </c>
      <c r="T329" s="26"/>
      <c r="U329" s="26"/>
      <c r="V329" s="26"/>
      <c r="W329" s="26">
        <v>386.32</v>
      </c>
      <c r="X329" s="26"/>
      <c r="Y329" s="26">
        <v>500</v>
      </c>
      <c r="AA329" s="26">
        <v>500</v>
      </c>
      <c r="AC329" s="66">
        <f t="shared" ref="AC329:AC330" si="371">AVERAGE(K329:S329)</f>
        <v>493.50799999999998</v>
      </c>
      <c r="AD329" s="66">
        <f>MAX(K329:S329)</f>
        <v>605</v>
      </c>
      <c r="AE329" s="66">
        <f>MIN(K329:S329)</f>
        <v>250</v>
      </c>
      <c r="AG329" s="66">
        <f t="shared" ref="AG329:AG330" si="372">+W329-AC329</f>
        <v>-107.18799999999999</v>
      </c>
      <c r="AH329" s="66">
        <f t="shared" ref="AH329:AH330" si="373">+W329-AD329</f>
        <v>-218.68</v>
      </c>
      <c r="AI329" s="66">
        <f t="shared" ref="AI329:AI330" si="374">+W329-AE329</f>
        <v>136.32</v>
      </c>
      <c r="AK329" s="66">
        <f t="shared" ref="AK329:AK330" si="375">+Y329-AC329</f>
        <v>6.4920000000000186</v>
      </c>
      <c r="AL329" s="66">
        <f t="shared" ref="AL329:AL330" si="376">+Y329-AD329</f>
        <v>-105</v>
      </c>
      <c r="AM329" s="66">
        <f t="shared" ref="AM329:AM330" si="377">+Y329-AE329</f>
        <v>250</v>
      </c>
    </row>
    <row r="330" spans="1:39" s="5" customFormat="1" ht="12" thickBot="1" x14ac:dyDescent="0.25">
      <c r="A330" s="64"/>
      <c r="B330" s="64"/>
      <c r="C330" s="64"/>
      <c r="D330" s="64"/>
      <c r="E330" s="64"/>
      <c r="F330" s="64"/>
      <c r="G330" s="64" t="s">
        <v>337</v>
      </c>
      <c r="H330" s="66"/>
      <c r="I330" s="71"/>
      <c r="J330" s="66"/>
      <c r="K330" s="71"/>
      <c r="L330" s="66"/>
      <c r="M330" s="71"/>
      <c r="N330" s="66"/>
      <c r="O330" s="71"/>
      <c r="P330" s="71"/>
      <c r="Q330" s="71"/>
      <c r="R330" s="71"/>
      <c r="S330" s="35">
        <v>3326.29</v>
      </c>
      <c r="T330" s="29"/>
      <c r="U330" s="29"/>
      <c r="V330" s="26"/>
      <c r="W330" s="35">
        <v>1367.93</v>
      </c>
      <c r="X330" s="26"/>
      <c r="Y330" s="35"/>
      <c r="AA330" s="35">
        <v>750</v>
      </c>
      <c r="AC330" s="71">
        <f t="shared" si="371"/>
        <v>3326.29</v>
      </c>
      <c r="AD330" s="71">
        <f>MAX(K330:S330)</f>
        <v>3326.29</v>
      </c>
      <c r="AE330" s="71">
        <f>MIN(K330:S330)</f>
        <v>3326.29</v>
      </c>
      <c r="AG330" s="71">
        <f t="shared" si="372"/>
        <v>-1958.36</v>
      </c>
      <c r="AH330" s="71">
        <f t="shared" si="373"/>
        <v>-1958.36</v>
      </c>
      <c r="AI330" s="71">
        <f t="shared" si="374"/>
        <v>-1958.36</v>
      </c>
      <c r="AK330" s="71">
        <f t="shared" si="375"/>
        <v>-3326.29</v>
      </c>
      <c r="AL330" s="71">
        <f t="shared" si="376"/>
        <v>-3326.29</v>
      </c>
      <c r="AM330" s="71">
        <f t="shared" si="377"/>
        <v>-3326.29</v>
      </c>
    </row>
    <row r="331" spans="1:39" s="5" customFormat="1" x14ac:dyDescent="0.2">
      <c r="A331" s="64"/>
      <c r="B331" s="64"/>
      <c r="C331" s="64"/>
      <c r="D331" s="64"/>
      <c r="E331" s="64"/>
      <c r="F331" s="64" t="s">
        <v>338</v>
      </c>
      <c r="G331" s="64"/>
      <c r="H331" s="66"/>
      <c r="I331" s="66">
        <f>ROUND(SUM(I328:I330),5)</f>
        <v>601</v>
      </c>
      <c r="J331" s="66"/>
      <c r="K331" s="66">
        <f>ROUND(SUM(K328:K330),5)</f>
        <v>605</v>
      </c>
      <c r="L331" s="66"/>
      <c r="M331" s="66">
        <f>ROUND(SUM(M328:M330),5)</f>
        <v>250</v>
      </c>
      <c r="N331" s="66"/>
      <c r="O331" s="66">
        <f>ROUND(SUM(O328:O330),5)</f>
        <v>600.14</v>
      </c>
      <c r="P331" s="66"/>
      <c r="Q331" s="66">
        <f>ROUND(SUM(Q328:Q330),5)</f>
        <v>459.69</v>
      </c>
      <c r="R331" s="66"/>
      <c r="S331" s="26">
        <f>ROUND(SUM(S328:S330),5)</f>
        <v>3879</v>
      </c>
      <c r="T331" s="26"/>
      <c r="U331" s="26"/>
      <c r="V331" s="26"/>
      <c r="W331" s="26">
        <f>ROUND(SUM(W328:W330),5)</f>
        <v>1754.25</v>
      </c>
      <c r="X331" s="26"/>
      <c r="Y331" s="26">
        <f>ROUND(SUM(Y328:Y330),5)</f>
        <v>500</v>
      </c>
      <c r="AA331" s="26">
        <f>ROUND(SUM(AA328:AA330),5)</f>
        <v>1250</v>
      </c>
      <c r="AC331" s="66">
        <f t="shared" ref="AC331:AE331" si="378">ROUND(SUM(AC328:AC330),5)</f>
        <v>3819.7979999999998</v>
      </c>
      <c r="AD331" s="66">
        <f t="shared" si="378"/>
        <v>3931.29</v>
      </c>
      <c r="AE331" s="66">
        <f t="shared" si="378"/>
        <v>3576.29</v>
      </c>
      <c r="AG331" s="66">
        <f t="shared" ref="AG331:AI331" si="379">ROUND(SUM(AG328:AG330),5)</f>
        <v>-2065.5479999999998</v>
      </c>
      <c r="AH331" s="66">
        <f t="shared" si="379"/>
        <v>-2177.04</v>
      </c>
      <c r="AI331" s="66">
        <f t="shared" si="379"/>
        <v>-1822.04</v>
      </c>
      <c r="AK331" s="66">
        <f t="shared" ref="AK331:AM331" si="380">ROUND(SUM(AK328:AK330),5)</f>
        <v>-3319.7979999999998</v>
      </c>
      <c r="AL331" s="66">
        <f t="shared" si="380"/>
        <v>-3431.29</v>
      </c>
      <c r="AM331" s="66">
        <f t="shared" si="380"/>
        <v>-3076.29</v>
      </c>
    </row>
    <row r="332" spans="1:39" s="5" customFormat="1" x14ac:dyDescent="0.2">
      <c r="A332" s="64"/>
      <c r="B332" s="64"/>
      <c r="C332" s="64"/>
      <c r="D332" s="64"/>
      <c r="E332" s="64"/>
      <c r="F332" s="64" t="s">
        <v>339</v>
      </c>
      <c r="G332" s="64"/>
      <c r="H332" s="66"/>
      <c r="I332" s="66"/>
      <c r="J332" s="66"/>
      <c r="K332" s="66"/>
      <c r="L332" s="66"/>
      <c r="M332" s="66"/>
      <c r="N332" s="66"/>
      <c r="O332" s="66"/>
      <c r="P332" s="66"/>
      <c r="Q332" s="66"/>
      <c r="R332" s="66"/>
      <c r="S332" s="26"/>
      <c r="T332" s="26"/>
      <c r="U332" s="26"/>
      <c r="V332" s="26"/>
      <c r="W332" s="26"/>
      <c r="X332" s="26"/>
      <c r="Y332" s="26"/>
      <c r="AA332" s="26"/>
      <c r="AC332" s="66"/>
      <c r="AD332" s="66"/>
      <c r="AE332" s="66"/>
      <c r="AG332" s="66"/>
      <c r="AH332" s="66"/>
      <c r="AI332" s="66"/>
      <c r="AK332" s="66"/>
      <c r="AL332" s="66"/>
      <c r="AM332" s="66"/>
    </row>
    <row r="333" spans="1:39" s="5" customFormat="1" x14ac:dyDescent="0.2">
      <c r="A333" s="64"/>
      <c r="B333" s="64"/>
      <c r="C333" s="64"/>
      <c r="D333" s="64"/>
      <c r="E333" s="64"/>
      <c r="F333" s="64"/>
      <c r="G333" s="64" t="s">
        <v>340</v>
      </c>
      <c r="H333" s="66"/>
      <c r="I333" s="66"/>
      <c r="J333" s="66"/>
      <c r="K333" s="66"/>
      <c r="L333" s="66"/>
      <c r="M333" s="66"/>
      <c r="N333" s="66"/>
      <c r="O333" s="66"/>
      <c r="P333" s="66"/>
      <c r="Q333" s="66">
        <v>0</v>
      </c>
      <c r="R333" s="66"/>
      <c r="S333" s="26">
        <v>0</v>
      </c>
      <c r="T333" s="26"/>
      <c r="U333" s="26"/>
      <c r="V333" s="26"/>
      <c r="W333" s="26"/>
      <c r="X333" s="26"/>
      <c r="Y333" s="26">
        <v>0</v>
      </c>
      <c r="AA333" s="26"/>
      <c r="AC333" s="66">
        <f t="shared" ref="AC333:AC341" si="381">AVERAGE(K333:S333)</f>
        <v>0</v>
      </c>
      <c r="AD333" s="66">
        <f t="shared" ref="AD333:AD341" si="382">MAX(K333:S333)</f>
        <v>0</v>
      </c>
      <c r="AE333" s="66">
        <f t="shared" ref="AE333:AE341" si="383">MIN(K333:S333)</f>
        <v>0</v>
      </c>
      <c r="AG333" s="66">
        <f t="shared" ref="AG333:AG341" si="384">+W333-AC333</f>
        <v>0</v>
      </c>
      <c r="AH333" s="66">
        <f t="shared" ref="AH333:AH341" si="385">+W333-AD333</f>
        <v>0</v>
      </c>
      <c r="AI333" s="66">
        <f t="shared" ref="AI333:AI341" si="386">+W333-AE333</f>
        <v>0</v>
      </c>
      <c r="AK333" s="66">
        <f t="shared" ref="AK333:AK341" si="387">+Y333-AC333</f>
        <v>0</v>
      </c>
      <c r="AL333" s="66">
        <f t="shared" ref="AL333:AL341" si="388">+Y333-AD333</f>
        <v>0</v>
      </c>
      <c r="AM333" s="66">
        <f t="shared" ref="AM333:AM341" si="389">+Y333-AE333</f>
        <v>0</v>
      </c>
    </row>
    <row r="334" spans="1:39" s="5" customFormat="1" x14ac:dyDescent="0.2">
      <c r="A334" s="64"/>
      <c r="B334" s="64"/>
      <c r="C334" s="64"/>
      <c r="D334" s="64"/>
      <c r="E334" s="64"/>
      <c r="F334" s="64"/>
      <c r="G334" s="64" t="s">
        <v>341</v>
      </c>
      <c r="H334" s="66"/>
      <c r="I334" s="66">
        <f>11824+1103</f>
        <v>12927</v>
      </c>
      <c r="J334" s="66"/>
      <c r="K334" s="66">
        <f>10231+1476</f>
        <v>11707</v>
      </c>
      <c r="L334" s="66"/>
      <c r="M334" s="66">
        <f>9631+1668</f>
        <v>11299</v>
      </c>
      <c r="N334" s="66"/>
      <c r="O334" s="66">
        <v>7142.87</v>
      </c>
      <c r="P334" s="66"/>
      <c r="Q334" s="66">
        <v>6664.1</v>
      </c>
      <c r="R334" s="66"/>
      <c r="S334" s="26">
        <v>675.08</v>
      </c>
      <c r="T334" s="26"/>
      <c r="U334" s="26"/>
      <c r="V334" s="26"/>
      <c r="W334" s="26">
        <v>820</v>
      </c>
      <c r="X334" s="26"/>
      <c r="Y334" s="26">
        <v>990</v>
      </c>
      <c r="AA334" s="26">
        <v>1000</v>
      </c>
      <c r="AC334" s="66">
        <f t="shared" si="381"/>
        <v>7497.6100000000006</v>
      </c>
      <c r="AD334" s="66">
        <f t="shared" si="382"/>
        <v>11707</v>
      </c>
      <c r="AE334" s="66">
        <f t="shared" si="383"/>
        <v>675.08</v>
      </c>
      <c r="AG334" s="66">
        <f t="shared" si="384"/>
        <v>-6677.6100000000006</v>
      </c>
      <c r="AH334" s="66">
        <f t="shared" si="385"/>
        <v>-10887</v>
      </c>
      <c r="AI334" s="66">
        <f t="shared" si="386"/>
        <v>144.91999999999996</v>
      </c>
      <c r="AK334" s="66">
        <f t="shared" si="387"/>
        <v>-6507.6100000000006</v>
      </c>
      <c r="AL334" s="66">
        <f t="shared" si="388"/>
        <v>-10717</v>
      </c>
      <c r="AM334" s="66">
        <f t="shared" si="389"/>
        <v>314.91999999999996</v>
      </c>
    </row>
    <row r="335" spans="1:39" s="5" customFormat="1" x14ac:dyDescent="0.2">
      <c r="A335" s="64"/>
      <c r="B335" s="64"/>
      <c r="C335" s="64"/>
      <c r="D335" s="64"/>
      <c r="E335" s="64"/>
      <c r="F335" s="64"/>
      <c r="G335" s="64" t="s">
        <v>355</v>
      </c>
      <c r="H335" s="66"/>
      <c r="I335" s="66"/>
      <c r="J335" s="66"/>
      <c r="K335" s="66"/>
      <c r="L335" s="66"/>
      <c r="M335" s="66"/>
      <c r="N335" s="66"/>
      <c r="O335" s="66"/>
      <c r="P335" s="66"/>
      <c r="Q335" s="66"/>
      <c r="R335" s="66"/>
      <c r="S335" s="26"/>
      <c r="T335" s="26"/>
      <c r="U335" s="26"/>
      <c r="V335" s="26"/>
      <c r="W335" s="26">
        <v>500</v>
      </c>
      <c r="X335" s="26"/>
      <c r="Y335" s="26"/>
      <c r="AA335" s="26"/>
      <c r="AC335" s="66"/>
      <c r="AD335" s="66"/>
      <c r="AE335" s="66"/>
      <c r="AG335" s="66"/>
      <c r="AH335" s="66"/>
      <c r="AI335" s="66"/>
      <c r="AK335" s="66"/>
      <c r="AL335" s="66"/>
      <c r="AM335" s="66"/>
    </row>
    <row r="336" spans="1:39" s="5" customFormat="1" x14ac:dyDescent="0.2">
      <c r="A336" s="64"/>
      <c r="B336" s="64"/>
      <c r="C336" s="64"/>
      <c r="D336" s="64"/>
      <c r="E336" s="64"/>
      <c r="F336" s="64"/>
      <c r="G336" s="64" t="s">
        <v>342</v>
      </c>
      <c r="H336" s="66"/>
      <c r="I336" s="66"/>
      <c r="J336" s="66"/>
      <c r="K336" s="66"/>
      <c r="L336" s="66"/>
      <c r="M336" s="66"/>
      <c r="N336" s="66"/>
      <c r="O336" s="66"/>
      <c r="P336" s="66"/>
      <c r="Q336" s="66">
        <v>690</v>
      </c>
      <c r="R336" s="66"/>
      <c r="S336" s="26"/>
      <c r="T336" s="26"/>
      <c r="U336" s="26"/>
      <c r="V336" s="26"/>
      <c r="W336" s="26">
        <v>9920</v>
      </c>
      <c r="X336" s="26"/>
      <c r="Y336" s="26">
        <v>1040</v>
      </c>
      <c r="AA336" s="26">
        <v>10000</v>
      </c>
      <c r="AC336" s="66">
        <f t="shared" si="381"/>
        <v>690</v>
      </c>
      <c r="AD336" s="66">
        <f t="shared" si="382"/>
        <v>690</v>
      </c>
      <c r="AE336" s="66">
        <f t="shared" si="383"/>
        <v>690</v>
      </c>
      <c r="AG336" s="66">
        <f t="shared" si="384"/>
        <v>9230</v>
      </c>
      <c r="AH336" s="66">
        <f t="shared" si="385"/>
        <v>9230</v>
      </c>
      <c r="AI336" s="66">
        <f t="shared" si="386"/>
        <v>9230</v>
      </c>
      <c r="AK336" s="66">
        <f t="shared" si="387"/>
        <v>350</v>
      </c>
      <c r="AL336" s="66">
        <f t="shared" si="388"/>
        <v>350</v>
      </c>
      <c r="AM336" s="66">
        <f t="shared" si="389"/>
        <v>350</v>
      </c>
    </row>
    <row r="337" spans="1:39" s="5" customFormat="1" x14ac:dyDescent="0.2">
      <c r="A337" s="64"/>
      <c r="B337" s="64"/>
      <c r="C337" s="64"/>
      <c r="D337" s="64"/>
      <c r="E337" s="64"/>
      <c r="F337" s="64"/>
      <c r="G337" s="64" t="s">
        <v>343</v>
      </c>
      <c r="H337" s="66"/>
      <c r="I337" s="66">
        <f>1365+277</f>
        <v>1642</v>
      </c>
      <c r="J337" s="66"/>
      <c r="K337" s="66">
        <f>2699+261</f>
        <v>2960</v>
      </c>
      <c r="L337" s="66"/>
      <c r="M337" s="66">
        <f>1478+66</f>
        <v>1544</v>
      </c>
      <c r="N337" s="66"/>
      <c r="O337" s="66">
        <v>1255.3599999999999</v>
      </c>
      <c r="P337" s="66"/>
      <c r="Q337" s="66">
        <v>4032.43</v>
      </c>
      <c r="R337" s="66"/>
      <c r="S337" s="26">
        <v>2747.18</v>
      </c>
      <c r="T337" s="26"/>
      <c r="U337" s="26"/>
      <c r="V337" s="26"/>
      <c r="W337" s="26">
        <v>1131.28</v>
      </c>
      <c r="X337" s="26"/>
      <c r="Y337" s="26">
        <v>2755</v>
      </c>
      <c r="AA337" s="26">
        <v>1500</v>
      </c>
      <c r="AC337" s="66">
        <f t="shared" si="381"/>
        <v>2507.7939999999999</v>
      </c>
      <c r="AD337" s="66">
        <f t="shared" si="382"/>
        <v>4032.43</v>
      </c>
      <c r="AE337" s="66">
        <f t="shared" si="383"/>
        <v>1255.3599999999999</v>
      </c>
      <c r="AG337" s="66">
        <f t="shared" si="384"/>
        <v>-1376.5139999999999</v>
      </c>
      <c r="AH337" s="66">
        <f t="shared" si="385"/>
        <v>-2901.1499999999996</v>
      </c>
      <c r="AI337" s="66">
        <f t="shared" si="386"/>
        <v>-124.07999999999993</v>
      </c>
      <c r="AK337" s="66">
        <f t="shared" si="387"/>
        <v>247.20600000000013</v>
      </c>
      <c r="AL337" s="66">
        <f t="shared" si="388"/>
        <v>-1277.4299999999998</v>
      </c>
      <c r="AM337" s="66">
        <f t="shared" si="389"/>
        <v>1499.64</v>
      </c>
    </row>
    <row r="338" spans="1:39" s="5" customFormat="1" x14ac:dyDescent="0.2">
      <c r="A338" s="64"/>
      <c r="B338" s="64"/>
      <c r="C338" s="64"/>
      <c r="D338" s="64"/>
      <c r="E338" s="64"/>
      <c r="F338" s="64"/>
      <c r="G338" s="64" t="s">
        <v>344</v>
      </c>
      <c r="H338" s="66"/>
      <c r="I338" s="66"/>
      <c r="J338" s="66"/>
      <c r="K338" s="66"/>
      <c r="L338" s="66"/>
      <c r="M338" s="66"/>
      <c r="N338" s="66"/>
      <c r="O338" s="66"/>
      <c r="P338" s="66"/>
      <c r="Q338" s="66">
        <v>365.71</v>
      </c>
      <c r="R338" s="66"/>
      <c r="S338" s="26">
        <v>975</v>
      </c>
      <c r="T338" s="26"/>
      <c r="U338" s="26"/>
      <c r="V338" s="26"/>
      <c r="W338" s="26">
        <v>910.6</v>
      </c>
      <c r="X338" s="26"/>
      <c r="Y338" s="26">
        <v>975</v>
      </c>
      <c r="AA338" s="26">
        <v>1000</v>
      </c>
      <c r="AC338" s="66">
        <f t="shared" si="381"/>
        <v>670.35500000000002</v>
      </c>
      <c r="AD338" s="66">
        <f t="shared" si="382"/>
        <v>975</v>
      </c>
      <c r="AE338" s="66">
        <f t="shared" si="383"/>
        <v>365.71</v>
      </c>
      <c r="AG338" s="66">
        <f t="shared" si="384"/>
        <v>240.245</v>
      </c>
      <c r="AH338" s="66">
        <f t="shared" si="385"/>
        <v>-64.399999999999977</v>
      </c>
      <c r="AI338" s="66">
        <f t="shared" si="386"/>
        <v>544.8900000000001</v>
      </c>
      <c r="AK338" s="66">
        <f t="shared" si="387"/>
        <v>304.64499999999998</v>
      </c>
      <c r="AL338" s="66">
        <f t="shared" si="388"/>
        <v>0</v>
      </c>
      <c r="AM338" s="66">
        <f t="shared" si="389"/>
        <v>609.29</v>
      </c>
    </row>
    <row r="339" spans="1:39" s="5" customFormat="1" x14ac:dyDescent="0.2">
      <c r="A339" s="64"/>
      <c r="B339" s="64"/>
      <c r="C339" s="64"/>
      <c r="D339" s="64"/>
      <c r="E339" s="64"/>
      <c r="F339" s="64"/>
      <c r="G339" s="64" t="s">
        <v>345</v>
      </c>
      <c r="H339" s="66"/>
      <c r="I339" s="66">
        <v>4855</v>
      </c>
      <c r="J339" s="66"/>
      <c r="K339" s="66">
        <v>612</v>
      </c>
      <c r="L339" s="66"/>
      <c r="M339" s="66">
        <v>1747</v>
      </c>
      <c r="N339" s="66"/>
      <c r="O339" s="66">
        <v>7454.81</v>
      </c>
      <c r="P339" s="66"/>
      <c r="Q339" s="66">
        <v>90.76</v>
      </c>
      <c r="R339" s="66"/>
      <c r="S339" s="26">
        <v>1179.73</v>
      </c>
      <c r="T339" s="26"/>
      <c r="U339" s="26"/>
      <c r="V339" s="26"/>
      <c r="W339" s="26">
        <v>6865.51</v>
      </c>
      <c r="X339" s="26"/>
      <c r="Y339" s="26">
        <v>3800</v>
      </c>
      <c r="AA339" s="26">
        <v>1800</v>
      </c>
      <c r="AC339" s="66">
        <f t="shared" si="381"/>
        <v>2216.86</v>
      </c>
      <c r="AD339" s="66">
        <f t="shared" si="382"/>
        <v>7454.81</v>
      </c>
      <c r="AE339" s="66">
        <f t="shared" si="383"/>
        <v>90.76</v>
      </c>
      <c r="AG339" s="66">
        <f t="shared" si="384"/>
        <v>4648.6499999999996</v>
      </c>
      <c r="AH339" s="66">
        <f t="shared" si="385"/>
        <v>-589.30000000000018</v>
      </c>
      <c r="AI339" s="66">
        <f t="shared" si="386"/>
        <v>6774.75</v>
      </c>
      <c r="AK339" s="66">
        <f t="shared" si="387"/>
        <v>1583.1399999999999</v>
      </c>
      <c r="AL339" s="66">
        <f t="shared" si="388"/>
        <v>-3654.8100000000004</v>
      </c>
      <c r="AM339" s="66">
        <f t="shared" si="389"/>
        <v>3709.24</v>
      </c>
    </row>
    <row r="340" spans="1:39" s="5" customFormat="1" x14ac:dyDescent="0.2">
      <c r="A340" s="64"/>
      <c r="B340" s="64"/>
      <c r="C340" s="64"/>
      <c r="D340" s="64"/>
      <c r="E340" s="64"/>
      <c r="F340" s="64"/>
      <c r="G340" s="64" t="s">
        <v>346</v>
      </c>
      <c r="H340" s="66"/>
      <c r="I340" s="66"/>
      <c r="J340" s="66"/>
      <c r="K340" s="66"/>
      <c r="L340" s="66"/>
      <c r="M340" s="66"/>
      <c r="N340" s="66"/>
      <c r="O340" s="66"/>
      <c r="P340" s="66"/>
      <c r="Q340" s="66">
        <v>9231.86</v>
      </c>
      <c r="R340" s="66"/>
      <c r="S340" s="26">
        <v>13408.02</v>
      </c>
      <c r="T340" s="26"/>
      <c r="U340" s="26"/>
      <c r="V340" s="26"/>
      <c r="W340" s="26">
        <v>5028.78</v>
      </c>
      <c r="X340" s="26"/>
      <c r="Y340" s="26">
        <v>10000</v>
      </c>
      <c r="AA340" s="26">
        <v>10000</v>
      </c>
      <c r="AC340" s="66">
        <f t="shared" si="381"/>
        <v>11319.94</v>
      </c>
      <c r="AD340" s="66">
        <f t="shared" si="382"/>
        <v>13408.02</v>
      </c>
      <c r="AE340" s="66">
        <f t="shared" si="383"/>
        <v>9231.86</v>
      </c>
      <c r="AG340" s="66">
        <f t="shared" si="384"/>
        <v>-6291.1600000000008</v>
      </c>
      <c r="AH340" s="66">
        <f t="shared" si="385"/>
        <v>-8379.2400000000016</v>
      </c>
      <c r="AI340" s="66">
        <f t="shared" si="386"/>
        <v>-4203.0800000000008</v>
      </c>
      <c r="AK340" s="66">
        <f t="shared" si="387"/>
        <v>-1319.9400000000005</v>
      </c>
      <c r="AL340" s="66">
        <f t="shared" si="388"/>
        <v>-3408.0200000000004</v>
      </c>
      <c r="AM340" s="66">
        <f t="shared" si="389"/>
        <v>768.13999999999942</v>
      </c>
    </row>
    <row r="341" spans="1:39" s="5" customFormat="1" ht="12" thickBot="1" x14ac:dyDescent="0.25">
      <c r="A341" s="64"/>
      <c r="B341" s="64"/>
      <c r="C341" s="64"/>
      <c r="D341" s="64"/>
      <c r="E341" s="64"/>
      <c r="F341" s="64"/>
      <c r="G341" s="64" t="s">
        <v>347</v>
      </c>
      <c r="H341" s="66"/>
      <c r="I341" s="69">
        <v>1691</v>
      </c>
      <c r="J341" s="66"/>
      <c r="K341" s="69">
        <v>5324</v>
      </c>
      <c r="L341" s="66"/>
      <c r="M341" s="69">
        <v>12069</v>
      </c>
      <c r="N341" s="66"/>
      <c r="O341" s="69">
        <v>17138.28</v>
      </c>
      <c r="P341" s="69"/>
      <c r="Q341" s="66">
        <v>4924.07</v>
      </c>
      <c r="R341" s="66"/>
      <c r="S341" s="26">
        <v>4154.1099999999997</v>
      </c>
      <c r="T341" s="29"/>
      <c r="U341" s="29"/>
      <c r="V341" s="26"/>
      <c r="W341" s="26">
        <v>5869.27</v>
      </c>
      <c r="X341" s="26"/>
      <c r="Y341" s="29">
        <v>2000</v>
      </c>
      <c r="AA341" s="29">
        <v>5000</v>
      </c>
      <c r="AC341" s="69">
        <f t="shared" si="381"/>
        <v>8721.8919999999998</v>
      </c>
      <c r="AD341" s="69">
        <f t="shared" si="382"/>
        <v>17138.28</v>
      </c>
      <c r="AE341" s="69">
        <f t="shared" si="383"/>
        <v>4154.1099999999997</v>
      </c>
      <c r="AG341" s="69">
        <f t="shared" si="384"/>
        <v>-2852.6219999999994</v>
      </c>
      <c r="AH341" s="69">
        <f t="shared" si="385"/>
        <v>-11269.009999999998</v>
      </c>
      <c r="AI341" s="69">
        <f t="shared" si="386"/>
        <v>1715.1600000000008</v>
      </c>
      <c r="AK341" s="69">
        <f t="shared" si="387"/>
        <v>-6721.8919999999998</v>
      </c>
      <c r="AL341" s="69">
        <f t="shared" si="388"/>
        <v>-15138.279999999999</v>
      </c>
      <c r="AM341" s="69">
        <f t="shared" si="389"/>
        <v>-2154.1099999999997</v>
      </c>
    </row>
    <row r="342" spans="1:39" s="5" customFormat="1" ht="12" thickBot="1" x14ac:dyDescent="0.25">
      <c r="A342" s="64"/>
      <c r="B342" s="64"/>
      <c r="C342" s="64"/>
      <c r="D342" s="64"/>
      <c r="E342" s="64"/>
      <c r="F342" s="64" t="s">
        <v>348</v>
      </c>
      <c r="G342" s="64"/>
      <c r="H342" s="66"/>
      <c r="I342" s="72">
        <f>ROUND(SUM(I332:I341),5)</f>
        <v>21115</v>
      </c>
      <c r="J342" s="66"/>
      <c r="K342" s="72">
        <f>ROUND(SUM(K332:K341),5)</f>
        <v>20603</v>
      </c>
      <c r="L342" s="66"/>
      <c r="M342" s="72">
        <f>ROUND(SUM(M332:M341),5)</f>
        <v>26659</v>
      </c>
      <c r="N342" s="66"/>
      <c r="O342" s="72">
        <f>ROUND(SUM(O332:O341),5)</f>
        <v>32991.32</v>
      </c>
      <c r="P342" s="72"/>
      <c r="Q342" s="72">
        <f>ROUND(SUM(Q332:Q341),5)</f>
        <v>25998.93</v>
      </c>
      <c r="R342" s="72"/>
      <c r="S342" s="39">
        <f>ROUND(SUM(S332:S341),5)</f>
        <v>23139.119999999999</v>
      </c>
      <c r="T342" s="29"/>
      <c r="U342" s="29"/>
      <c r="V342" s="26"/>
      <c r="W342" s="39">
        <f>ROUND(SUM(W332:W341),5)</f>
        <v>31045.439999999999</v>
      </c>
      <c r="X342" s="26"/>
      <c r="Y342" s="39">
        <f>ROUND(SUM(Y332:Y341),5)</f>
        <v>21560</v>
      </c>
      <c r="AA342" s="39">
        <f>ROUND(SUM(AA332:AA341),5)</f>
        <v>30300</v>
      </c>
      <c r="AC342" s="72">
        <f>ROUND(SUM(AC332:AC341),5)</f>
        <v>33624.451000000001</v>
      </c>
      <c r="AD342" s="72">
        <f>ROUND(SUM(AD332:AD341),5)</f>
        <v>55405.54</v>
      </c>
      <c r="AE342" s="72">
        <f>ROUND(SUM(AE332:AE341),5)</f>
        <v>16462.88</v>
      </c>
      <c r="AG342" s="72">
        <f>ROUND(SUM(AG332:AG341),5)</f>
        <v>-3079.011</v>
      </c>
      <c r="AH342" s="72">
        <f>ROUND(SUM(AH332:AH341),5)</f>
        <v>-24860.1</v>
      </c>
      <c r="AI342" s="72">
        <f>ROUND(SUM(AI332:AI341),5)</f>
        <v>14082.56</v>
      </c>
      <c r="AK342" s="72">
        <f>ROUND(SUM(AK332:AK341),5)</f>
        <v>-12064.450999999999</v>
      </c>
      <c r="AL342" s="72">
        <f>ROUND(SUM(AL332:AL341),5)</f>
        <v>-33845.54</v>
      </c>
      <c r="AM342" s="72">
        <f>ROUND(SUM(AM332:AM341),5)</f>
        <v>5097.12</v>
      </c>
    </row>
    <row r="343" spans="1:39" s="5" customFormat="1" ht="12" thickBot="1" x14ac:dyDescent="0.25">
      <c r="A343" s="64"/>
      <c r="B343" s="64"/>
      <c r="C343" s="64"/>
      <c r="D343" s="64"/>
      <c r="E343" s="64" t="s">
        <v>349</v>
      </c>
      <c r="F343" s="64"/>
      <c r="G343" s="64"/>
      <c r="H343" s="66"/>
      <c r="I343" s="72">
        <f>ROUND(I314+I321+I327+I331+I342,5)</f>
        <v>340647</v>
      </c>
      <c r="J343" s="66"/>
      <c r="K343" s="72">
        <f>ROUND(K314+K321+K327+K331+K342,5)</f>
        <v>368057</v>
      </c>
      <c r="L343" s="66"/>
      <c r="M343" s="72">
        <f>ROUND(M314+M321+M327+M331+M342,5)</f>
        <v>337350</v>
      </c>
      <c r="N343" s="66"/>
      <c r="O343" s="72">
        <f>ROUND(O314+O321+O327+O331+O342,5)</f>
        <v>372206.45</v>
      </c>
      <c r="P343" s="72"/>
      <c r="Q343" s="72">
        <f>ROUND(Q314+Q321+Q327+Q331+Q342,5)</f>
        <v>384336.68</v>
      </c>
      <c r="R343" s="72"/>
      <c r="S343" s="39">
        <f>ROUND(S314+S321+S327+S331+S342,5)</f>
        <v>418180.44</v>
      </c>
      <c r="T343" s="29"/>
      <c r="U343" s="29"/>
      <c r="V343" s="26"/>
      <c r="W343" s="39">
        <f>ROUND(W314+W321+W327+W331+W342,5)</f>
        <v>429492.9</v>
      </c>
      <c r="X343" s="26"/>
      <c r="Y343" s="39">
        <f>ROUND(Y314+Y321+Y327+Y331+Y342,5)</f>
        <v>432364</v>
      </c>
      <c r="AA343" s="39">
        <f>ROUND(AA314+AA321+AA327+AA331+AA342,5)</f>
        <v>450396.97</v>
      </c>
      <c r="AC343" s="72">
        <f>ROUND(AC314+AC321+AC327+AC331+AC342,5)</f>
        <v>393275.26500000001</v>
      </c>
      <c r="AD343" s="72">
        <f>ROUND(AD314+AD321+AD327+AD331+AD342,5)</f>
        <v>458311.4</v>
      </c>
      <c r="AE343" s="72">
        <f>ROUND(AE314+AE321+AE327+AE331+AE342,5)</f>
        <v>323617.76</v>
      </c>
      <c r="AG343" s="72">
        <f>ROUND(AG314+AG321+AG327+AG331+AG342,5)</f>
        <v>35717.635000000002</v>
      </c>
      <c r="AH343" s="72">
        <f>ROUND(AH314+AH321+AH327+AH331+AH342,5)</f>
        <v>-29318.5</v>
      </c>
      <c r="AI343" s="72">
        <f>ROUND(AI314+AI321+AI327+AI331+AI342,5)</f>
        <v>105375.14</v>
      </c>
      <c r="AK343" s="72">
        <f>ROUND(AK314+AK321+AK327+AK331+AK342,5)</f>
        <v>39088.735000000001</v>
      </c>
      <c r="AL343" s="72">
        <f>ROUND(AL314+AL321+AL327+AL331+AL342,5)</f>
        <v>-25947.4</v>
      </c>
      <c r="AM343" s="72">
        <f>ROUND(AM314+AM321+AM327+AM331+AM342,5)</f>
        <v>108746.24000000001</v>
      </c>
    </row>
    <row r="344" spans="1:39" s="5" customFormat="1" ht="12" thickBot="1" x14ac:dyDescent="0.25">
      <c r="A344" s="64"/>
      <c r="B344" s="64"/>
      <c r="C344" s="64"/>
      <c r="D344" s="64" t="s">
        <v>350</v>
      </c>
      <c r="E344" s="64"/>
      <c r="F344" s="64"/>
      <c r="G344" s="64"/>
      <c r="H344" s="66"/>
      <c r="I344" s="72">
        <f>ROUND(I86+I128+I162+I210+I235+I273+I294+I312+I343,5)</f>
        <v>2872489</v>
      </c>
      <c r="J344" s="66"/>
      <c r="K344" s="72">
        <f>ROUND(K86+K128+K162+K210+K235+K273+K294+K312+K343,5)</f>
        <v>3067668</v>
      </c>
      <c r="L344" s="66"/>
      <c r="M344" s="72">
        <f>ROUND(M86+M128+M162+M210+M235+M273+M294+M312+M343,5)</f>
        <v>3296432</v>
      </c>
      <c r="N344" s="66"/>
      <c r="O344" s="72">
        <f>ROUND(O86+O128+O162+O210+O235+O273+O294+O312+O343,5)</f>
        <v>3575082.26</v>
      </c>
      <c r="P344" s="72"/>
      <c r="Q344" s="72">
        <f>ROUND(Q86+Q128+Q162+Q210+Q235+Q273+Q294+Q312+Q343,5)</f>
        <v>3424790.42</v>
      </c>
      <c r="R344" s="72"/>
      <c r="S344" s="39">
        <f>ROUND(S86+S128+S162+S210+S235+S273+S294+S312+S343,5)</f>
        <v>3707545.75</v>
      </c>
      <c r="T344" s="29"/>
      <c r="U344" s="29"/>
      <c r="V344" s="26"/>
      <c r="W344" s="39">
        <f>ROUND(W86+W128+W162+W210+W235+W273+W294+W312+W343,5)</f>
        <v>3023997.1889999998</v>
      </c>
      <c r="X344" s="26"/>
      <c r="Y344" s="39">
        <f>ROUND(Y86+Y128+Y162+Y210+Y235+Y273+Y294+Y312+Y343,5)</f>
        <v>3703708</v>
      </c>
      <c r="AA344" s="39">
        <f>ROUND(AA86+AA128+AA162+AA210+AA235+AA273+AA294+AA312+AA343,5)</f>
        <v>3720281.4489000002</v>
      </c>
      <c r="AC344" s="72">
        <f>ROUND(AC86+AC128+AC162+AC210+AC235+AC273+AC294+AC312+AC343,5)</f>
        <v>3585253.9454999999</v>
      </c>
      <c r="AD344" s="72">
        <f>ROUND(AD86+AD128+AD162+AD210+AD235+AD273+AD294+AD312+AD343,5)</f>
        <v>5120685.67</v>
      </c>
      <c r="AE344" s="72">
        <f>ROUND(AE86+AE128+AE162+AE210+AE235+AE273+AE294+AE312+AE343,5)</f>
        <v>2632114.86</v>
      </c>
      <c r="AG344" s="72">
        <f>ROUND(AG86+AG128+AG162+AG210+AG235+AG273+AG294+AG312+AG343,5)</f>
        <v>-599358.37150000001</v>
      </c>
      <c r="AH344" s="72">
        <f>ROUND(AH86+AH128+AH162+AH210+AH235+AH273+AH294+AH312+AH343,5)</f>
        <v>-2123860.3560000001</v>
      </c>
      <c r="AI344" s="72">
        <f>ROUND(AI86+AI128+AI162+AI210+AI235+AI273+AI294+AI312+AI343,5)</f>
        <v>385500.12400000001</v>
      </c>
      <c r="AK344" s="72">
        <f>ROUND(AK86+AK128+AK162+AK210+AK235+AK273+AK294+AK312+AK343,5)</f>
        <v>-36223.832170000001</v>
      </c>
      <c r="AL344" s="72">
        <f>ROUND(AL86+AL128+AL162+AL210+AL235+AL273+AL294+AL312+AL343,5)</f>
        <v>-1459870.96</v>
      </c>
      <c r="AM344" s="72">
        <f>ROUND(AM86+AM128+AM162+AM210+AM235+AM273+AM294+AM312+AM343,5)</f>
        <v>1065242.1399999999</v>
      </c>
    </row>
    <row r="345" spans="1:39" s="5" customFormat="1" ht="12" thickBot="1" x14ac:dyDescent="0.25">
      <c r="A345" s="64"/>
      <c r="B345" s="64" t="s">
        <v>351</v>
      </c>
      <c r="C345" s="64"/>
      <c r="D345" s="64"/>
      <c r="E345" s="64"/>
      <c r="F345" s="64"/>
      <c r="G345" s="64"/>
      <c r="H345" s="66"/>
      <c r="I345" s="72">
        <f>ROUND(I3+I84-I344,5)</f>
        <v>242451</v>
      </c>
      <c r="J345" s="66"/>
      <c r="K345" s="72">
        <f>ROUND(K3+K84-K344,5)</f>
        <v>275628</v>
      </c>
      <c r="L345" s="66"/>
      <c r="M345" s="72">
        <f>ROUND(M3+M84-M344,5)</f>
        <v>289186</v>
      </c>
      <c r="N345" s="66"/>
      <c r="O345" s="72">
        <f>ROUND(O3+O84-O344,5)</f>
        <v>276977.42</v>
      </c>
      <c r="P345" s="72"/>
      <c r="Q345" s="72">
        <f>ROUND(Q3+Q84-Q344,5)</f>
        <v>664983.30000000005</v>
      </c>
      <c r="R345" s="72"/>
      <c r="S345" s="39">
        <f>ROUND(S3+S84-S344,5)</f>
        <v>-112059.69</v>
      </c>
      <c r="T345" s="29"/>
      <c r="U345" s="29"/>
      <c r="V345" s="26"/>
      <c r="W345" s="39">
        <f>ROUND(W3+W84-W344,5)</f>
        <v>450727.761</v>
      </c>
      <c r="X345" s="26"/>
      <c r="Y345" s="39">
        <f>ROUND(Y3+Y84-Y344,5)</f>
        <v>342</v>
      </c>
      <c r="AA345" s="39">
        <f>ROUND(AA3+AA84-AA344,5)</f>
        <v>268.55110000000002</v>
      </c>
      <c r="AC345" s="72">
        <f>ROUND(AC3+AC84-AC344,5)</f>
        <v>234836.82250000001</v>
      </c>
      <c r="AD345" s="72">
        <f>ROUND(AD3+AD84-AD344,5)</f>
        <v>-724367.18</v>
      </c>
      <c r="AE345" s="72">
        <f>ROUND(AE3+AE84-AE344,5)</f>
        <v>336079.37</v>
      </c>
      <c r="AG345" s="72">
        <f>ROUND(AG3+AG84-AG344,5)</f>
        <v>147404.37049999999</v>
      </c>
      <c r="AH345" s="72">
        <f>ROUND(AH3+AH84-AH344,5)</f>
        <v>1013538.286</v>
      </c>
      <c r="AI345" s="72">
        <f>ROUND(AI3+AI84-AI344,5)</f>
        <v>-76603.073999999993</v>
      </c>
      <c r="AK345" s="72">
        <f>ROUND(AK3+AK84-AK344,5)</f>
        <v>-181276.16782999999</v>
      </c>
      <c r="AL345" s="72">
        <f>ROUND(AL3+AL84-AL344,5)</f>
        <v>1159870.96</v>
      </c>
      <c r="AM345" s="72">
        <f>ROUND(AM3+AM84-AM344,5)</f>
        <v>-1185242.1399999999</v>
      </c>
    </row>
    <row r="346" spans="1:39" s="66" customFormat="1" ht="12" thickBot="1" x14ac:dyDescent="0.25">
      <c r="A346" s="64" t="s">
        <v>352</v>
      </c>
      <c r="B346" s="64"/>
      <c r="C346" s="64"/>
      <c r="D346" s="64"/>
      <c r="E346" s="64"/>
      <c r="F346" s="64"/>
      <c r="G346" s="64"/>
      <c r="I346" s="81">
        <f>I345</f>
        <v>242451</v>
      </c>
      <c r="K346" s="81">
        <f>K345</f>
        <v>275628</v>
      </c>
      <c r="M346" s="81">
        <f>M345</f>
        <v>289186</v>
      </c>
      <c r="O346" s="81">
        <f>O345</f>
        <v>276977.42</v>
      </c>
      <c r="P346" s="81"/>
      <c r="Q346" s="81">
        <f>Q345</f>
        <v>664983.30000000005</v>
      </c>
      <c r="R346" s="81"/>
      <c r="S346" s="82">
        <f>S345</f>
        <v>-112059.69</v>
      </c>
      <c r="T346" s="29"/>
      <c r="U346" s="29"/>
      <c r="V346" s="26"/>
      <c r="W346" s="82">
        <f>W345</f>
        <v>450727.761</v>
      </c>
      <c r="X346" s="26"/>
      <c r="Y346" s="82">
        <f>Y345</f>
        <v>342</v>
      </c>
      <c r="AA346" s="82">
        <f>AA345</f>
        <v>268.55110000000002</v>
      </c>
      <c r="AC346" s="81">
        <f t="shared" ref="AC346:AE346" si="390">AC345</f>
        <v>234836.82250000001</v>
      </c>
      <c r="AD346" s="81">
        <f t="shared" si="390"/>
        <v>-724367.18</v>
      </c>
      <c r="AE346" s="81">
        <f t="shared" si="390"/>
        <v>336079.37</v>
      </c>
      <c r="AG346" s="81">
        <f t="shared" ref="AG346:AI346" si="391">AG345</f>
        <v>147404.37049999999</v>
      </c>
      <c r="AH346" s="81">
        <f t="shared" si="391"/>
        <v>1013538.286</v>
      </c>
      <c r="AI346" s="81">
        <f t="shared" si="391"/>
        <v>-76603.073999999993</v>
      </c>
      <c r="AK346" s="81">
        <f t="shared" ref="AK346:AM346" si="392">AK345</f>
        <v>-181276.16782999999</v>
      </c>
      <c r="AL346" s="81">
        <f t="shared" si="392"/>
        <v>1159870.96</v>
      </c>
      <c r="AM346" s="81">
        <f t="shared" si="392"/>
        <v>-1185242.1399999999</v>
      </c>
    </row>
    <row r="347" spans="1:39" s="5" customFormat="1" ht="12" thickTop="1" x14ac:dyDescent="0.2">
      <c r="A347" s="83"/>
      <c r="B347" s="83"/>
      <c r="C347" s="83"/>
      <c r="D347" s="83"/>
      <c r="E347" s="83"/>
      <c r="F347" s="83"/>
      <c r="G347" s="83"/>
      <c r="J347" s="66"/>
      <c r="S347" s="26"/>
      <c r="T347" s="26"/>
      <c r="U347" s="26"/>
      <c r="V347" s="26"/>
      <c r="W347" s="26"/>
      <c r="X347" s="26"/>
      <c r="Y347" s="26"/>
      <c r="AA347" s="26"/>
    </row>
    <row r="348" spans="1:39" x14ac:dyDescent="0.2">
      <c r="G348" s="83" t="s">
        <v>155</v>
      </c>
      <c r="Y348" s="85"/>
      <c r="AA348" s="85"/>
    </row>
    <row r="349" spans="1:39" x14ac:dyDescent="0.2">
      <c r="G349" s="57"/>
      <c r="Y349" s="85"/>
      <c r="AA349" s="85"/>
    </row>
    <row r="350" spans="1:39" x14ac:dyDescent="0.2">
      <c r="Y350" s="85"/>
      <c r="AA350" s="85"/>
    </row>
    <row r="351" spans="1:39" x14ac:dyDescent="0.2">
      <c r="Y351" s="85"/>
      <c r="AA351" s="85"/>
    </row>
  </sheetData>
  <mergeCells count="8">
    <mergeCell ref="AL1:AL2"/>
    <mergeCell ref="AM1:AM2"/>
    <mergeCell ref="H1:X1"/>
    <mergeCell ref="AC1:AC2"/>
    <mergeCell ref="AG1:AG2"/>
    <mergeCell ref="AH1:AH2"/>
    <mergeCell ref="AI1:AI2"/>
    <mergeCell ref="AK1:AK2"/>
  </mergeCells>
  <pageMargins left="0.7" right="0.7" top="0.75" bottom="0.75" header="0.3" footer="0.3"/>
  <pageSetup paperSize="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3D0C4-362C-4826-9288-5E8D74CC8176}">
  <dimension ref="A1:AN350"/>
  <sheetViews>
    <sheetView topLeftCell="D1" workbookViewId="0">
      <pane xSplit="4" ySplit="2" topLeftCell="W3" activePane="bottomRight" state="frozen"/>
      <selection activeCell="D1" sqref="D1"/>
      <selection pane="topRight" activeCell="H1" sqref="H1"/>
      <selection pane="bottomLeft" activeCell="D3" sqref="D3"/>
      <selection pane="bottomRight" activeCell="AB7" sqref="AB7"/>
    </sheetView>
  </sheetViews>
  <sheetFormatPr defaultRowHeight="11.25" x14ac:dyDescent="0.2"/>
  <cols>
    <col min="1" max="6" width="3" style="53" customWidth="1"/>
    <col min="7" max="7" width="52.140625" style="53" customWidth="1"/>
    <col min="8" max="8" width="2.28515625" style="53" customWidth="1"/>
    <col min="9" max="9" width="14.42578125" style="53" hidden="1" customWidth="1"/>
    <col min="10" max="10" width="2.28515625" style="53" customWidth="1"/>
    <col min="11" max="11" width="14.42578125" style="7" bestFit="1" customWidth="1"/>
    <col min="12" max="12" width="2.28515625" style="7" customWidth="1"/>
    <col min="13" max="13" width="14.42578125" style="7" bestFit="1" customWidth="1"/>
    <col min="14" max="14" width="2.28515625" style="7" customWidth="1"/>
    <col min="15" max="15" width="14.42578125" style="7" bestFit="1" customWidth="1"/>
    <col min="16" max="16" width="2.7109375" style="7" customWidth="1"/>
    <col min="17" max="17" width="14.42578125" style="25" bestFit="1" customWidth="1"/>
    <col min="18" max="18" width="2.7109375" style="25" customWidth="1"/>
    <col min="19" max="19" width="11.140625" style="22" bestFit="1" customWidth="1"/>
    <col min="20" max="21" width="2.7109375" style="54" customWidth="1"/>
    <col min="22" max="22" width="2.28515625" style="54" customWidth="1"/>
    <col min="23" max="23" width="11.140625" style="22" bestFit="1" customWidth="1"/>
    <col min="24" max="24" width="2.28515625" style="54" customWidth="1"/>
    <col min="25" max="25" width="12.140625" style="54" bestFit="1" customWidth="1"/>
    <col min="26" max="26" width="2.28515625" style="7" customWidth="1"/>
    <col min="27" max="27" width="12.140625" style="54" bestFit="1" customWidth="1"/>
    <col min="28" max="28" width="2.7109375" style="7" customWidth="1"/>
    <col min="29" max="31" width="11.140625" style="7" bestFit="1" customWidth="1"/>
    <col min="32" max="32" width="2.7109375" style="7" customWidth="1"/>
    <col min="33" max="33" width="11.140625" style="7" bestFit="1" customWidth="1"/>
    <col min="34" max="34" width="11.7109375" style="7" bestFit="1" customWidth="1"/>
    <col min="35" max="35" width="11.140625" style="7" bestFit="1" customWidth="1"/>
    <col min="36" max="36" width="2.7109375" style="7" customWidth="1"/>
    <col min="37" max="37" width="11.140625" style="7" bestFit="1" customWidth="1"/>
    <col min="38" max="39" width="11.7109375" style="7" bestFit="1" customWidth="1"/>
    <col min="40" max="16384" width="9.140625" style="7"/>
  </cols>
  <sheetData>
    <row r="1" spans="1:39" ht="15.75" customHeight="1" thickBot="1" x14ac:dyDescent="0.25">
      <c r="A1" s="1" t="s">
        <v>0</v>
      </c>
      <c r="B1" s="1"/>
      <c r="C1" s="1"/>
      <c r="D1" s="1"/>
      <c r="E1" s="1"/>
      <c r="F1" s="1"/>
      <c r="G1" s="1"/>
      <c r="H1" s="88" t="s">
        <v>1</v>
      </c>
      <c r="I1" s="88"/>
      <c r="J1" s="88"/>
      <c r="K1" s="88"/>
      <c r="L1" s="88"/>
      <c r="M1" s="88"/>
      <c r="N1" s="88"/>
      <c r="O1" s="88"/>
      <c r="P1" s="88"/>
      <c r="Q1" s="88"/>
      <c r="R1" s="88"/>
      <c r="S1" s="88"/>
      <c r="T1" s="88"/>
      <c r="U1" s="88"/>
      <c r="V1" s="88"/>
      <c r="W1" s="88"/>
      <c r="X1" s="88"/>
      <c r="Y1" s="2"/>
      <c r="Z1" s="3"/>
      <c r="AA1" s="4"/>
      <c r="AB1" s="5"/>
      <c r="AC1" s="86" t="s">
        <v>2</v>
      </c>
      <c r="AD1" s="6"/>
      <c r="AE1" s="6"/>
      <c r="AG1" s="86" t="s">
        <v>3</v>
      </c>
      <c r="AH1" s="86" t="s">
        <v>4</v>
      </c>
      <c r="AI1" s="86" t="s">
        <v>5</v>
      </c>
      <c r="AK1" s="86" t="s">
        <v>6</v>
      </c>
      <c r="AL1" s="86" t="s">
        <v>7</v>
      </c>
      <c r="AM1" s="86" t="s">
        <v>8</v>
      </c>
    </row>
    <row r="2" spans="1:39" s="16" customFormat="1" ht="16.5" customHeight="1" thickTop="1" thickBot="1" x14ac:dyDescent="0.25">
      <c r="A2" s="8"/>
      <c r="B2" s="8"/>
      <c r="C2" s="8"/>
      <c r="D2" s="8"/>
      <c r="E2" s="8"/>
      <c r="F2" s="8"/>
      <c r="G2" s="8"/>
      <c r="H2" s="9"/>
      <c r="I2" s="10" t="s">
        <v>9</v>
      </c>
      <c r="J2" s="9"/>
      <c r="K2" s="10" t="s">
        <v>10</v>
      </c>
      <c r="L2" s="9"/>
      <c r="M2" s="10" t="s">
        <v>11</v>
      </c>
      <c r="N2" s="9"/>
      <c r="O2" s="10" t="s">
        <v>12</v>
      </c>
      <c r="P2" s="10"/>
      <c r="Q2" s="10" t="s">
        <v>13</v>
      </c>
      <c r="R2" s="10"/>
      <c r="S2" s="11" t="s">
        <v>14</v>
      </c>
      <c r="T2" s="12"/>
      <c r="U2" s="12"/>
      <c r="V2" s="13"/>
      <c r="W2" s="14" t="s">
        <v>15</v>
      </c>
      <c r="X2" s="13"/>
      <c r="Y2" s="15" t="s">
        <v>16</v>
      </c>
      <c r="AA2" s="17" t="s">
        <v>17</v>
      </c>
      <c r="AC2" s="87"/>
      <c r="AD2" s="18" t="s">
        <v>18</v>
      </c>
      <c r="AE2" s="18" t="s">
        <v>19</v>
      </c>
      <c r="AG2" s="87"/>
      <c r="AH2" s="87"/>
      <c r="AI2" s="87"/>
      <c r="AK2" s="87"/>
      <c r="AL2" s="87"/>
      <c r="AM2" s="87"/>
    </row>
    <row r="3" spans="1:39" x14ac:dyDescent="0.2">
      <c r="A3" s="19"/>
      <c r="B3" s="19" t="s">
        <v>20</v>
      </c>
      <c r="C3" s="19"/>
      <c r="D3" s="19"/>
      <c r="E3" s="19"/>
      <c r="F3" s="19"/>
      <c r="G3" s="19"/>
      <c r="H3" s="19"/>
      <c r="I3" s="19"/>
      <c r="J3" s="19"/>
      <c r="K3" s="20"/>
      <c r="L3" s="19"/>
      <c r="M3" s="20"/>
      <c r="N3" s="19"/>
      <c r="O3" s="20"/>
      <c r="P3" s="20"/>
      <c r="Q3" s="21"/>
      <c r="R3" s="21"/>
      <c r="T3" s="23"/>
      <c r="U3" s="23"/>
      <c r="V3" s="24"/>
      <c r="X3" s="24"/>
      <c r="Y3" s="23"/>
      <c r="AA3" s="20"/>
      <c r="AC3" s="20"/>
      <c r="AD3" s="20"/>
      <c r="AE3" s="20"/>
      <c r="AG3" s="20"/>
      <c r="AH3" s="20"/>
      <c r="AI3" s="20"/>
      <c r="AK3" s="20"/>
      <c r="AL3" s="20"/>
      <c r="AM3" s="20"/>
    </row>
    <row r="4" spans="1:39" s="25" customFormat="1" x14ac:dyDescent="0.2">
      <c r="A4" s="19"/>
      <c r="B4" s="19"/>
      <c r="C4" s="19"/>
      <c r="D4" s="19" t="s">
        <v>21</v>
      </c>
      <c r="E4" s="19"/>
      <c r="F4" s="19"/>
      <c r="G4" s="19"/>
      <c r="H4" s="21"/>
      <c r="I4" s="21"/>
      <c r="J4" s="21"/>
      <c r="K4" s="21"/>
      <c r="L4" s="21"/>
      <c r="M4" s="21"/>
      <c r="N4" s="21"/>
      <c r="O4" s="21"/>
      <c r="P4" s="21"/>
      <c r="Q4" s="21"/>
      <c r="R4" s="21"/>
      <c r="S4" s="22"/>
      <c r="T4" s="22"/>
      <c r="U4" s="22"/>
      <c r="V4" s="22"/>
      <c r="W4" s="22"/>
      <c r="X4" s="22"/>
      <c r="Y4" s="22"/>
      <c r="AA4" s="21"/>
      <c r="AC4" s="21"/>
      <c r="AD4" s="21"/>
      <c r="AE4" s="21"/>
      <c r="AG4" s="21"/>
      <c r="AH4" s="21"/>
      <c r="AI4" s="21"/>
      <c r="AK4" s="21"/>
      <c r="AL4" s="21"/>
      <c r="AM4" s="21"/>
    </row>
    <row r="5" spans="1:39" s="25" customFormat="1" x14ac:dyDescent="0.2">
      <c r="A5" s="19"/>
      <c r="B5" s="19"/>
      <c r="C5" s="19"/>
      <c r="D5" s="19"/>
      <c r="E5" s="19" t="s">
        <v>22</v>
      </c>
      <c r="F5" s="19"/>
      <c r="G5" s="19"/>
      <c r="H5" s="21"/>
      <c r="I5" s="21"/>
      <c r="J5" s="21"/>
      <c r="K5" s="21"/>
      <c r="L5" s="21"/>
      <c r="M5" s="21"/>
      <c r="N5" s="21"/>
      <c r="O5" s="21"/>
      <c r="P5" s="21"/>
      <c r="Q5" s="21"/>
      <c r="R5" s="21"/>
      <c r="S5" s="22"/>
      <c r="T5" s="22"/>
      <c r="U5" s="22"/>
      <c r="V5" s="22"/>
      <c r="W5" s="22"/>
      <c r="X5" s="22"/>
      <c r="Y5" s="22"/>
      <c r="AA5" s="21"/>
      <c r="AC5" s="21"/>
      <c r="AD5" s="21"/>
      <c r="AE5" s="21"/>
      <c r="AG5" s="21"/>
      <c r="AH5" s="21"/>
      <c r="AI5" s="21"/>
      <c r="AK5" s="21"/>
      <c r="AL5" s="21"/>
      <c r="AM5" s="21"/>
    </row>
    <row r="6" spans="1:39" s="25" customFormat="1" x14ac:dyDescent="0.2">
      <c r="A6" s="19"/>
      <c r="B6" s="19"/>
      <c r="C6" s="19"/>
      <c r="D6" s="19"/>
      <c r="E6" s="19"/>
      <c r="F6" s="19" t="s">
        <v>23</v>
      </c>
      <c r="G6" s="19"/>
      <c r="H6" s="21"/>
      <c r="I6" s="21"/>
      <c r="J6" s="21"/>
      <c r="K6" s="21"/>
      <c r="L6" s="21"/>
      <c r="M6" s="21"/>
      <c r="N6" s="21"/>
      <c r="O6" s="21"/>
      <c r="P6" s="21"/>
      <c r="Q6" s="21"/>
      <c r="R6" s="21"/>
      <c r="S6" s="22"/>
      <c r="T6" s="22"/>
      <c r="U6" s="22"/>
      <c r="V6" s="22"/>
      <c r="W6" s="22"/>
      <c r="X6" s="22"/>
      <c r="Y6" s="22"/>
      <c r="AA6" s="22"/>
      <c r="AC6" s="21"/>
      <c r="AD6" s="21"/>
      <c r="AE6" s="21"/>
      <c r="AG6" s="21"/>
      <c r="AH6" s="21"/>
      <c r="AI6" s="21"/>
      <c r="AK6" s="21"/>
      <c r="AL6" s="21"/>
      <c r="AM6" s="21"/>
    </row>
    <row r="7" spans="1:39" s="25" customFormat="1" x14ac:dyDescent="0.2">
      <c r="A7" s="19"/>
      <c r="B7" s="19"/>
      <c r="C7" s="19"/>
      <c r="D7" s="19"/>
      <c r="E7" s="19"/>
      <c r="F7" s="19"/>
      <c r="G7" s="19" t="s">
        <v>24</v>
      </c>
      <c r="H7" s="21"/>
      <c r="I7" s="21">
        <v>602864</v>
      </c>
      <c r="J7" s="21"/>
      <c r="K7" s="21">
        <v>611483</v>
      </c>
      <c r="L7" s="21"/>
      <c r="M7" s="21">
        <v>733987</v>
      </c>
      <c r="N7" s="21"/>
      <c r="O7" s="21">
        <v>729324.36</v>
      </c>
      <c r="P7" s="21"/>
      <c r="Q7" s="21">
        <v>744785.47</v>
      </c>
      <c r="R7" s="21"/>
      <c r="S7" s="26">
        <v>610372.80000000005</v>
      </c>
      <c r="T7" s="22"/>
      <c r="U7" s="22"/>
      <c r="V7" s="22"/>
      <c r="W7" s="26">
        <v>829326.72</v>
      </c>
      <c r="X7" s="22"/>
      <c r="Y7" s="26">
        <v>605000</v>
      </c>
      <c r="AA7" s="26">
        <v>750000</v>
      </c>
      <c r="AC7" s="21">
        <f>AVERAGE(K7:S7)</f>
        <v>685990.52599999995</v>
      </c>
      <c r="AD7" s="21">
        <f>MAX(K7:S7)</f>
        <v>744785.47</v>
      </c>
      <c r="AE7" s="21">
        <f>MIN(K7:S7)</f>
        <v>610372.80000000005</v>
      </c>
      <c r="AG7" s="21">
        <f>+W7-AC7</f>
        <v>143336.19400000002</v>
      </c>
      <c r="AH7" s="21">
        <f>+W7-AD7</f>
        <v>84541.25</v>
      </c>
      <c r="AI7" s="21">
        <f>+W7-AE7</f>
        <v>218953.91999999993</v>
      </c>
      <c r="AK7" s="21">
        <f>+Y7-AC7</f>
        <v>-80990.525999999954</v>
      </c>
      <c r="AL7" s="21">
        <f>+Y7-AD7</f>
        <v>-139785.46999999997</v>
      </c>
      <c r="AM7" s="21">
        <f>+Y7-AE7</f>
        <v>-5372.8000000000466</v>
      </c>
    </row>
    <row r="8" spans="1:39" s="25" customFormat="1" x14ac:dyDescent="0.2">
      <c r="A8" s="19"/>
      <c r="B8" s="19"/>
      <c r="C8" s="19"/>
      <c r="D8" s="19"/>
      <c r="E8" s="19"/>
      <c r="F8" s="19"/>
      <c r="G8" s="19" t="s">
        <v>25</v>
      </c>
      <c r="H8" s="21"/>
      <c r="I8" s="21"/>
      <c r="J8" s="21"/>
      <c r="K8" s="21"/>
      <c r="L8" s="21"/>
      <c r="M8" s="21"/>
      <c r="N8" s="21"/>
      <c r="O8" s="21"/>
      <c r="P8" s="21"/>
      <c r="Q8" s="21">
        <v>39199</v>
      </c>
      <c r="R8" s="21"/>
      <c r="S8" s="26">
        <v>29345.11</v>
      </c>
      <c r="T8" s="22"/>
      <c r="U8" s="22"/>
      <c r="V8" s="22"/>
      <c r="W8" s="26">
        <v>36770.68</v>
      </c>
      <c r="X8" s="22"/>
      <c r="Y8" s="26"/>
      <c r="AA8" s="26"/>
      <c r="AC8" s="21">
        <f t="shared" ref="AC8:AC11" si="0">AVERAGE(K8:S8)</f>
        <v>34272.055</v>
      </c>
      <c r="AD8" s="21"/>
      <c r="AE8" s="21"/>
      <c r="AG8" s="21"/>
      <c r="AH8" s="21"/>
      <c r="AI8" s="21"/>
      <c r="AK8" s="21"/>
      <c r="AL8" s="21"/>
      <c r="AM8" s="21"/>
    </row>
    <row r="9" spans="1:39" s="25" customFormat="1" x14ac:dyDescent="0.2">
      <c r="A9" s="19"/>
      <c r="B9" s="19"/>
      <c r="C9" s="19"/>
      <c r="D9" s="19"/>
      <c r="E9" s="19"/>
      <c r="F9" s="19"/>
      <c r="G9" s="19" t="s">
        <v>26</v>
      </c>
      <c r="H9" s="21"/>
      <c r="I9" s="21">
        <v>414052</v>
      </c>
      <c r="J9" s="21"/>
      <c r="K9" s="21">
        <v>473317</v>
      </c>
      <c r="L9" s="21"/>
      <c r="M9" s="21">
        <v>522887</v>
      </c>
      <c r="N9" s="21"/>
      <c r="O9" s="21">
        <v>499054.87</v>
      </c>
      <c r="P9" s="21"/>
      <c r="Q9" s="21">
        <v>510696.11</v>
      </c>
      <c r="R9" s="21"/>
      <c r="S9" s="22">
        <v>426335.34</v>
      </c>
      <c r="T9" s="22"/>
      <c r="U9" s="22"/>
      <c r="V9" s="22"/>
      <c r="W9" s="22">
        <v>438306.44</v>
      </c>
      <c r="X9" s="22"/>
      <c r="Y9" s="26">
        <v>475000</v>
      </c>
      <c r="AA9" s="26">
        <v>475000</v>
      </c>
      <c r="AC9" s="21">
        <f t="shared" si="0"/>
        <v>486458.06399999995</v>
      </c>
      <c r="AD9" s="21">
        <f>MAX(K9:S9)</f>
        <v>522887</v>
      </c>
      <c r="AE9" s="21">
        <f>MIN(K9:S9)</f>
        <v>426335.34</v>
      </c>
      <c r="AG9" s="21">
        <f t="shared" ref="AG9:AG11" si="1">+W9-AC9</f>
        <v>-48151.623999999953</v>
      </c>
      <c r="AH9" s="21">
        <f t="shared" ref="AH9:AH11" si="2">+W9-AD9</f>
        <v>-84580.56</v>
      </c>
      <c r="AI9" s="21">
        <f t="shared" ref="AI9:AI11" si="3">+W9-AE9</f>
        <v>11971.099999999977</v>
      </c>
      <c r="AK9" s="21">
        <f t="shared" ref="AK9:AK11" si="4">+Y9-AC9</f>
        <v>-11458.063999999955</v>
      </c>
      <c r="AL9" s="21">
        <f t="shared" ref="AL9:AL11" si="5">+Y9-AD9</f>
        <v>-47887</v>
      </c>
      <c r="AM9" s="21">
        <f t="shared" ref="AM9:AM11" si="6">+Y9-AE9</f>
        <v>48664.659999999974</v>
      </c>
    </row>
    <row r="10" spans="1:39" s="25" customFormat="1" x14ac:dyDescent="0.2">
      <c r="A10" s="19"/>
      <c r="B10" s="19"/>
      <c r="C10" s="19"/>
      <c r="D10" s="19"/>
      <c r="E10" s="19"/>
      <c r="F10" s="19"/>
      <c r="G10" s="19" t="s">
        <v>27</v>
      </c>
      <c r="H10" s="21"/>
      <c r="I10" s="21">
        <v>42944</v>
      </c>
      <c r="J10" s="21"/>
      <c r="K10" s="21">
        <v>50722</v>
      </c>
      <c r="L10" s="21"/>
      <c r="M10" s="21">
        <v>54119</v>
      </c>
      <c r="N10" s="21"/>
      <c r="O10" s="21">
        <v>58053.04</v>
      </c>
      <c r="P10" s="21"/>
      <c r="Q10" s="21">
        <v>55465.42</v>
      </c>
      <c r="R10" s="21"/>
      <c r="S10" s="22">
        <v>58509.86</v>
      </c>
      <c r="T10" s="22"/>
      <c r="U10" s="22"/>
      <c r="V10" s="22"/>
      <c r="W10" s="22">
        <v>45877.46</v>
      </c>
      <c r="X10" s="22"/>
      <c r="Y10" s="26">
        <v>58000</v>
      </c>
      <c r="AA10" s="26">
        <v>58000</v>
      </c>
      <c r="AC10" s="21">
        <f t="shared" si="0"/>
        <v>55373.864000000001</v>
      </c>
      <c r="AD10" s="21">
        <f>MAX(K10:S10)</f>
        <v>58509.86</v>
      </c>
      <c r="AE10" s="21">
        <f>MIN(K10:S10)</f>
        <v>50722</v>
      </c>
      <c r="AG10" s="21">
        <f t="shared" si="1"/>
        <v>-9496.4040000000023</v>
      </c>
      <c r="AH10" s="21">
        <f t="shared" si="2"/>
        <v>-12632.400000000001</v>
      </c>
      <c r="AI10" s="21">
        <f t="shared" si="3"/>
        <v>-4844.5400000000009</v>
      </c>
      <c r="AK10" s="21">
        <f t="shared" si="4"/>
        <v>2626.1359999999986</v>
      </c>
      <c r="AL10" s="21">
        <f t="shared" si="5"/>
        <v>-509.86000000000058</v>
      </c>
      <c r="AM10" s="21">
        <f t="shared" si="6"/>
        <v>7278</v>
      </c>
    </row>
    <row r="11" spans="1:39" s="25" customFormat="1" ht="12" thickBot="1" x14ac:dyDescent="0.25">
      <c r="A11" s="19"/>
      <c r="B11" s="19"/>
      <c r="C11" s="19"/>
      <c r="D11" s="19"/>
      <c r="E11" s="19"/>
      <c r="F11" s="19"/>
      <c r="G11" s="19" t="s">
        <v>28</v>
      </c>
      <c r="H11" s="21"/>
      <c r="I11" s="27">
        <v>66000</v>
      </c>
      <c r="J11" s="21"/>
      <c r="K11" s="27">
        <v>65000</v>
      </c>
      <c r="L11" s="21"/>
      <c r="M11" s="27">
        <v>65000</v>
      </c>
      <c r="N11" s="21"/>
      <c r="O11" s="27">
        <v>70000</v>
      </c>
      <c r="P11" s="27"/>
      <c r="Q11" s="21">
        <v>70000</v>
      </c>
      <c r="R11" s="21"/>
      <c r="S11" s="28">
        <v>70000</v>
      </c>
      <c r="T11" s="28"/>
      <c r="U11" s="28"/>
      <c r="V11" s="22"/>
      <c r="W11" s="28">
        <v>70000</v>
      </c>
      <c r="X11" s="22"/>
      <c r="Y11" s="29">
        <v>70000</v>
      </c>
      <c r="AA11" s="29">
        <v>70000</v>
      </c>
      <c r="AC11" s="27">
        <f t="shared" si="0"/>
        <v>68000</v>
      </c>
      <c r="AD11" s="27">
        <f>MAX(K11:S11)</f>
        <v>70000</v>
      </c>
      <c r="AE11" s="27">
        <f>MIN(K11:S11)</f>
        <v>65000</v>
      </c>
      <c r="AG11" s="27">
        <f t="shared" si="1"/>
        <v>2000</v>
      </c>
      <c r="AH11" s="27">
        <f t="shared" si="2"/>
        <v>0</v>
      </c>
      <c r="AI11" s="27">
        <f t="shared" si="3"/>
        <v>5000</v>
      </c>
      <c r="AK11" s="27">
        <f t="shared" si="4"/>
        <v>2000</v>
      </c>
      <c r="AL11" s="27">
        <f t="shared" si="5"/>
        <v>0</v>
      </c>
      <c r="AM11" s="27">
        <f t="shared" si="6"/>
        <v>5000</v>
      </c>
    </row>
    <row r="12" spans="1:39" s="25" customFormat="1" ht="12" thickBot="1" x14ac:dyDescent="0.25">
      <c r="A12" s="19"/>
      <c r="B12" s="19"/>
      <c r="C12" s="19"/>
      <c r="D12" s="19"/>
      <c r="E12" s="19"/>
      <c r="F12" s="19" t="s">
        <v>29</v>
      </c>
      <c r="G12" s="19"/>
      <c r="H12" s="21"/>
      <c r="I12" s="30">
        <f>ROUND(SUM(I6:I11),5)</f>
        <v>1125860</v>
      </c>
      <c r="J12" s="21"/>
      <c r="K12" s="30">
        <f>ROUND(SUM(K6:K11),5)</f>
        <v>1200522</v>
      </c>
      <c r="L12" s="21"/>
      <c r="M12" s="30">
        <f>ROUND(SUM(M6:M11),5)</f>
        <v>1375993</v>
      </c>
      <c r="N12" s="21"/>
      <c r="O12" s="30">
        <f>ROUND(SUM(O6:O11),5)</f>
        <v>1356432.27</v>
      </c>
      <c r="P12" s="30"/>
      <c r="Q12" s="30">
        <f>ROUND(SUM(Q6:Q11),5)</f>
        <v>1420146</v>
      </c>
      <c r="R12" s="30"/>
      <c r="S12" s="31">
        <f>ROUND(SUM(S6:S11),5)</f>
        <v>1194563.1100000001</v>
      </c>
      <c r="T12" s="28"/>
      <c r="U12" s="28"/>
      <c r="V12" s="22"/>
      <c r="W12" s="31">
        <f>ROUND(SUM(W6:W11),5)</f>
        <v>1420281.3</v>
      </c>
      <c r="X12" s="22"/>
      <c r="Y12" s="32">
        <f>ROUND(SUM(Y6:Y11),5)</f>
        <v>1208000</v>
      </c>
      <c r="AA12" s="32">
        <f>ROUND(SUM(AA6:AA11),5)</f>
        <v>1353000</v>
      </c>
      <c r="AC12" s="30">
        <f t="shared" ref="AC12:AE12" si="7">ROUND(SUM(AC6:AC11),5)</f>
        <v>1330094.5090000001</v>
      </c>
      <c r="AD12" s="30">
        <f t="shared" si="7"/>
        <v>1396182.33</v>
      </c>
      <c r="AE12" s="30">
        <f t="shared" si="7"/>
        <v>1152430.1399999999</v>
      </c>
      <c r="AG12" s="30">
        <f t="shared" ref="AG12:AI12" si="8">ROUND(SUM(AG6:AG11),5)</f>
        <v>87688.165999999997</v>
      </c>
      <c r="AH12" s="30">
        <f t="shared" si="8"/>
        <v>-12671.71</v>
      </c>
      <c r="AI12" s="30">
        <f t="shared" si="8"/>
        <v>231080.48</v>
      </c>
      <c r="AK12" s="30"/>
      <c r="AL12" s="30"/>
      <c r="AM12" s="30"/>
    </row>
    <row r="13" spans="1:39" s="25" customFormat="1" x14ac:dyDescent="0.2">
      <c r="A13" s="19"/>
      <c r="B13" s="19"/>
      <c r="C13" s="19"/>
      <c r="D13" s="19"/>
      <c r="E13" s="19" t="s">
        <v>30</v>
      </c>
      <c r="F13" s="19"/>
      <c r="G13" s="19"/>
      <c r="H13" s="21"/>
      <c r="I13" s="21">
        <f>ROUND(I5+I12,5)</f>
        <v>1125860</v>
      </c>
      <c r="J13" s="21"/>
      <c r="K13" s="21">
        <f>ROUND(K5+K12,5)</f>
        <v>1200522</v>
      </c>
      <c r="L13" s="21"/>
      <c r="M13" s="21">
        <f>ROUND(M5+M12,5)</f>
        <v>1375993</v>
      </c>
      <c r="N13" s="21"/>
      <c r="O13" s="21">
        <f>ROUND(O5+O12,5)</f>
        <v>1356432.27</v>
      </c>
      <c r="P13" s="21"/>
      <c r="Q13" s="21">
        <f>ROUND(Q5+Q12,5)</f>
        <v>1420146</v>
      </c>
      <c r="R13" s="21"/>
      <c r="S13" s="22">
        <f>ROUND(S5+S12,5)</f>
        <v>1194563.1100000001</v>
      </c>
      <c r="T13" s="22"/>
      <c r="U13" s="22"/>
      <c r="V13" s="22"/>
      <c r="W13" s="22">
        <f>ROUND(W5+W12,5)</f>
        <v>1420281.3</v>
      </c>
      <c r="X13" s="22"/>
      <c r="Y13" s="26">
        <f>ROUND(Y5+Y12,5)</f>
        <v>1208000</v>
      </c>
      <c r="AA13" s="26">
        <f>ROUND(AA5+AA12,5)</f>
        <v>1353000</v>
      </c>
      <c r="AC13" s="21">
        <f t="shared" ref="AC13:AE13" si="9">ROUND(AC5+AC12,5)</f>
        <v>1330094.5090000001</v>
      </c>
      <c r="AD13" s="21">
        <f t="shared" si="9"/>
        <v>1396182.33</v>
      </c>
      <c r="AE13" s="21">
        <f t="shared" si="9"/>
        <v>1152430.1399999999</v>
      </c>
      <c r="AG13" s="21">
        <f t="shared" ref="AG13:AI13" si="10">ROUND(AG5+AG12,5)</f>
        <v>87688.165999999997</v>
      </c>
      <c r="AH13" s="21">
        <f t="shared" si="10"/>
        <v>-12671.71</v>
      </c>
      <c r="AI13" s="21">
        <f t="shared" si="10"/>
        <v>231080.48</v>
      </c>
      <c r="AK13" s="21"/>
      <c r="AL13" s="21"/>
      <c r="AM13" s="21"/>
    </row>
    <row r="14" spans="1:39" s="25" customFormat="1" x14ac:dyDescent="0.2">
      <c r="A14" s="19"/>
      <c r="B14" s="19"/>
      <c r="C14" s="19"/>
      <c r="D14" s="19"/>
      <c r="E14" s="19" t="s">
        <v>31</v>
      </c>
      <c r="F14" s="19"/>
      <c r="G14" s="19"/>
      <c r="H14" s="21"/>
      <c r="I14" s="21"/>
      <c r="J14" s="21"/>
      <c r="K14" s="21"/>
      <c r="L14" s="21"/>
      <c r="M14" s="21"/>
      <c r="N14" s="21"/>
      <c r="O14" s="21"/>
      <c r="P14" s="21"/>
      <c r="Q14" s="21"/>
      <c r="R14" s="21"/>
      <c r="S14" s="22"/>
      <c r="T14" s="22"/>
      <c r="U14" s="22"/>
      <c r="V14" s="22"/>
      <c r="W14" s="22"/>
      <c r="X14" s="22"/>
      <c r="Y14" s="26"/>
      <c r="AA14" s="26"/>
      <c r="AC14" s="21"/>
      <c r="AD14" s="21"/>
      <c r="AE14" s="21"/>
      <c r="AG14" s="21"/>
      <c r="AH14" s="21"/>
      <c r="AI14" s="21"/>
      <c r="AK14" s="21"/>
      <c r="AL14" s="21"/>
      <c r="AM14" s="21"/>
    </row>
    <row r="15" spans="1:39" s="25" customFormat="1" x14ac:dyDescent="0.2">
      <c r="A15" s="19"/>
      <c r="B15" s="19"/>
      <c r="C15" s="19"/>
      <c r="D15" s="19"/>
      <c r="E15" s="19"/>
      <c r="F15" s="19" t="s">
        <v>32</v>
      </c>
      <c r="G15" s="19"/>
      <c r="H15" s="21"/>
      <c r="I15" s="21"/>
      <c r="J15" s="21"/>
      <c r="K15" s="21"/>
      <c r="L15" s="21"/>
      <c r="M15" s="21"/>
      <c r="N15" s="21"/>
      <c r="O15" s="21"/>
      <c r="P15" s="21"/>
      <c r="Q15" s="21"/>
      <c r="R15" s="21"/>
      <c r="S15" s="22"/>
      <c r="T15" s="22"/>
      <c r="U15" s="22"/>
      <c r="V15" s="22"/>
      <c r="W15" s="22"/>
      <c r="X15" s="22"/>
      <c r="Y15" s="26"/>
      <c r="AA15" s="26"/>
      <c r="AC15" s="21"/>
      <c r="AD15" s="21"/>
      <c r="AE15" s="21"/>
      <c r="AG15" s="21"/>
      <c r="AH15" s="21"/>
      <c r="AI15" s="21"/>
      <c r="AK15" s="21"/>
      <c r="AL15" s="21"/>
      <c r="AM15" s="21"/>
    </row>
    <row r="16" spans="1:39" s="25" customFormat="1" x14ac:dyDescent="0.2">
      <c r="A16" s="19"/>
      <c r="B16" s="19"/>
      <c r="C16" s="19"/>
      <c r="D16" s="19"/>
      <c r="E16" s="19"/>
      <c r="F16" s="19"/>
      <c r="G16" s="19" t="s">
        <v>33</v>
      </c>
      <c r="H16" s="21"/>
      <c r="I16" s="21">
        <v>516</v>
      </c>
      <c r="J16" s="21"/>
      <c r="K16" s="21">
        <v>0</v>
      </c>
      <c r="L16" s="21"/>
      <c r="M16" s="21">
        <v>0</v>
      </c>
      <c r="N16" s="21"/>
      <c r="O16" s="21">
        <v>0</v>
      </c>
      <c r="P16" s="21"/>
      <c r="Q16" s="21">
        <v>0</v>
      </c>
      <c r="R16" s="21"/>
      <c r="S16" s="22">
        <v>500</v>
      </c>
      <c r="T16" s="22"/>
      <c r="U16" s="22"/>
      <c r="V16" s="22"/>
      <c r="W16" s="22">
        <v>300</v>
      </c>
      <c r="X16" s="22"/>
      <c r="Y16" s="26">
        <v>0</v>
      </c>
      <c r="AA16" s="26">
        <v>0</v>
      </c>
      <c r="AC16" s="21">
        <f t="shared" ref="AC16:AC20" si="11">AVERAGE(K16:S16)</f>
        <v>100</v>
      </c>
      <c r="AD16" s="21">
        <f>MAX(K16:S16)</f>
        <v>500</v>
      </c>
      <c r="AE16" s="21">
        <f>MIN(K16:S16)</f>
        <v>0</v>
      </c>
      <c r="AG16" s="21">
        <f t="shared" ref="AG16:AG20" si="12">+W16-AC16</f>
        <v>200</v>
      </c>
      <c r="AH16" s="21">
        <f t="shared" ref="AH16:AH20" si="13">+W16-AD16</f>
        <v>-200</v>
      </c>
      <c r="AI16" s="21">
        <f t="shared" ref="AI16:AI20" si="14">+W16-AE16</f>
        <v>300</v>
      </c>
      <c r="AK16" s="21">
        <f t="shared" ref="AK16:AK20" si="15">+Y16-AC16</f>
        <v>-100</v>
      </c>
      <c r="AL16" s="21">
        <f t="shared" ref="AL16:AL20" si="16">+Y16-AD16</f>
        <v>-500</v>
      </c>
      <c r="AM16" s="21">
        <f t="shared" ref="AM16:AM20" si="17">+Y16-AE16</f>
        <v>0</v>
      </c>
    </row>
    <row r="17" spans="1:39" s="25" customFormat="1" x14ac:dyDescent="0.2">
      <c r="A17" s="19"/>
      <c r="B17" s="19"/>
      <c r="C17" s="19"/>
      <c r="D17" s="19"/>
      <c r="E17" s="19"/>
      <c r="F17" s="19"/>
      <c r="G17" s="19" t="s">
        <v>34</v>
      </c>
      <c r="H17" s="21"/>
      <c r="I17" s="21">
        <v>73262</v>
      </c>
      <c r="J17" s="21"/>
      <c r="K17" s="21">
        <v>113988</v>
      </c>
      <c r="L17" s="21"/>
      <c r="M17" s="21">
        <v>119728</v>
      </c>
      <c r="N17" s="21"/>
      <c r="O17" s="21">
        <v>107722.02</v>
      </c>
      <c r="P17" s="21"/>
      <c r="Q17" s="21">
        <v>100923.4</v>
      </c>
      <c r="R17" s="21"/>
      <c r="S17" s="22">
        <v>60519</v>
      </c>
      <c r="T17" s="22"/>
      <c r="U17" s="22"/>
      <c r="V17" s="22"/>
      <c r="W17" s="22">
        <v>63589</v>
      </c>
      <c r="X17" s="22"/>
      <c r="Y17" s="26">
        <v>103500</v>
      </c>
      <c r="AA17" s="26">
        <v>105000</v>
      </c>
      <c r="AC17" s="21">
        <f t="shared" si="11"/>
        <v>100576.084</v>
      </c>
      <c r="AD17" s="21">
        <f>MAX(K17:S17)</f>
        <v>119728</v>
      </c>
      <c r="AE17" s="21">
        <f>MIN(K17:S17)</f>
        <v>60519</v>
      </c>
      <c r="AG17" s="21">
        <f t="shared" si="12"/>
        <v>-36987.084000000003</v>
      </c>
      <c r="AH17" s="21">
        <f t="shared" si="13"/>
        <v>-56139</v>
      </c>
      <c r="AI17" s="21">
        <f t="shared" si="14"/>
        <v>3070</v>
      </c>
      <c r="AK17" s="21">
        <f t="shared" si="15"/>
        <v>2923.9159999999974</v>
      </c>
      <c r="AL17" s="21">
        <f t="shared" si="16"/>
        <v>-16228</v>
      </c>
      <c r="AM17" s="21">
        <f t="shared" si="17"/>
        <v>42981</v>
      </c>
    </row>
    <row r="18" spans="1:39" s="25" customFormat="1" x14ac:dyDescent="0.2">
      <c r="A18" s="19"/>
      <c r="B18" s="19"/>
      <c r="C18" s="19"/>
      <c r="D18" s="19"/>
      <c r="E18" s="19"/>
      <c r="F18" s="19"/>
      <c r="G18" s="19" t="s">
        <v>35</v>
      </c>
      <c r="H18" s="21"/>
      <c r="I18" s="21"/>
      <c r="J18" s="21"/>
      <c r="K18" s="21">
        <v>3686</v>
      </c>
      <c r="L18" s="21"/>
      <c r="M18" s="21">
        <v>4124</v>
      </c>
      <c r="N18" s="21"/>
      <c r="O18" s="21">
        <v>4551.3500000000004</v>
      </c>
      <c r="P18" s="21"/>
      <c r="Q18" s="21">
        <v>2293</v>
      </c>
      <c r="R18" s="21"/>
      <c r="S18" s="22">
        <v>1746</v>
      </c>
      <c r="T18" s="22"/>
      <c r="U18" s="22"/>
      <c r="V18" s="22"/>
      <c r="W18" s="22">
        <v>1255</v>
      </c>
      <c r="X18" s="22"/>
      <c r="Y18" s="26">
        <v>2000</v>
      </c>
      <c r="AA18" s="26">
        <v>2000</v>
      </c>
      <c r="AC18" s="21">
        <f t="shared" si="11"/>
        <v>3280.0699999999997</v>
      </c>
      <c r="AD18" s="21">
        <f>MAX(K18:S18)</f>
        <v>4551.3500000000004</v>
      </c>
      <c r="AE18" s="21">
        <f>MIN(K18:S18)</f>
        <v>1746</v>
      </c>
      <c r="AG18" s="21">
        <f t="shared" si="12"/>
        <v>-2025.0699999999997</v>
      </c>
      <c r="AH18" s="21">
        <f t="shared" si="13"/>
        <v>-3296.3500000000004</v>
      </c>
      <c r="AI18" s="21">
        <f t="shared" si="14"/>
        <v>-491</v>
      </c>
      <c r="AK18" s="21">
        <f t="shared" si="15"/>
        <v>-1280.0699999999997</v>
      </c>
      <c r="AL18" s="21">
        <f t="shared" si="16"/>
        <v>-2551.3500000000004</v>
      </c>
      <c r="AM18" s="21">
        <f t="shared" si="17"/>
        <v>254</v>
      </c>
    </row>
    <row r="19" spans="1:39" s="25" customFormat="1" x14ac:dyDescent="0.2">
      <c r="A19" s="19"/>
      <c r="B19" s="19"/>
      <c r="C19" s="19"/>
      <c r="D19" s="19"/>
      <c r="E19" s="19"/>
      <c r="F19" s="19"/>
      <c r="G19" s="19" t="s">
        <v>36</v>
      </c>
      <c r="H19" s="21"/>
      <c r="I19" s="21">
        <v>227266</v>
      </c>
      <c r="J19" s="21"/>
      <c r="K19" s="21">
        <v>269309</v>
      </c>
      <c r="L19" s="21"/>
      <c r="M19" s="21">
        <f>234411+1391</f>
        <v>235802</v>
      </c>
      <c r="N19" s="21"/>
      <c r="O19" s="21">
        <v>192032.32</v>
      </c>
      <c r="P19" s="21"/>
      <c r="Q19" s="21">
        <v>220165</v>
      </c>
      <c r="R19" s="21"/>
      <c r="S19" s="22">
        <v>188845</v>
      </c>
      <c r="T19" s="22"/>
      <c r="U19" s="22"/>
      <c r="V19" s="22"/>
      <c r="W19" s="22">
        <v>68501</v>
      </c>
      <c r="X19" s="22"/>
      <c r="Y19" s="26">
        <v>227500</v>
      </c>
      <c r="AA19" s="26">
        <v>230000</v>
      </c>
      <c r="AC19" s="21">
        <f t="shared" si="11"/>
        <v>221230.66400000002</v>
      </c>
      <c r="AD19" s="21">
        <f>MAX(K19:S19)</f>
        <v>269309</v>
      </c>
      <c r="AE19" s="21">
        <f>MIN(K19:S19)</f>
        <v>188845</v>
      </c>
      <c r="AG19" s="21">
        <f t="shared" si="12"/>
        <v>-152729.66400000002</v>
      </c>
      <c r="AH19" s="21">
        <f t="shared" si="13"/>
        <v>-200808</v>
      </c>
      <c r="AI19" s="21">
        <f t="shared" si="14"/>
        <v>-120344</v>
      </c>
      <c r="AK19" s="21">
        <f t="shared" si="15"/>
        <v>6269.3359999999811</v>
      </c>
      <c r="AL19" s="21">
        <f t="shared" si="16"/>
        <v>-41809</v>
      </c>
      <c r="AM19" s="21">
        <f t="shared" si="17"/>
        <v>38655</v>
      </c>
    </row>
    <row r="20" spans="1:39" s="25" customFormat="1" ht="12" thickBot="1" x14ac:dyDescent="0.25">
      <c r="A20" s="19"/>
      <c r="B20" s="19"/>
      <c r="C20" s="19"/>
      <c r="D20" s="19"/>
      <c r="E20" s="19"/>
      <c r="F20" s="19"/>
      <c r="G20" s="19" t="s">
        <v>37</v>
      </c>
      <c r="H20" s="21"/>
      <c r="I20" s="33">
        <v>10273</v>
      </c>
      <c r="J20" s="21"/>
      <c r="K20" s="33">
        <v>7086</v>
      </c>
      <c r="L20" s="21"/>
      <c r="M20" s="33">
        <v>11369</v>
      </c>
      <c r="N20" s="21"/>
      <c r="O20" s="33">
        <v>6159</v>
      </c>
      <c r="P20" s="33"/>
      <c r="Q20" s="33">
        <v>7957</v>
      </c>
      <c r="R20" s="33"/>
      <c r="S20" s="34">
        <v>4469</v>
      </c>
      <c r="T20" s="28"/>
      <c r="U20" s="28"/>
      <c r="V20" s="22"/>
      <c r="W20" s="34">
        <v>545</v>
      </c>
      <c r="X20" s="22"/>
      <c r="Y20" s="35">
        <v>500</v>
      </c>
      <c r="AA20" s="35">
        <v>0</v>
      </c>
      <c r="AC20" s="33">
        <f t="shared" si="11"/>
        <v>7408</v>
      </c>
      <c r="AD20" s="33">
        <f>MAX(K20:S20)</f>
        <v>11369</v>
      </c>
      <c r="AE20" s="33">
        <f>MIN(K20:S20)</f>
        <v>4469</v>
      </c>
      <c r="AG20" s="33">
        <f t="shared" si="12"/>
        <v>-6863</v>
      </c>
      <c r="AH20" s="33">
        <f t="shared" si="13"/>
        <v>-10824</v>
      </c>
      <c r="AI20" s="33">
        <f t="shared" si="14"/>
        <v>-3924</v>
      </c>
      <c r="AK20" s="33">
        <f t="shared" si="15"/>
        <v>-6908</v>
      </c>
      <c r="AL20" s="33">
        <f t="shared" si="16"/>
        <v>-10869</v>
      </c>
      <c r="AM20" s="33">
        <f t="shared" si="17"/>
        <v>-3969</v>
      </c>
    </row>
    <row r="21" spans="1:39" s="25" customFormat="1" x14ac:dyDescent="0.2">
      <c r="A21" s="19"/>
      <c r="B21" s="19"/>
      <c r="C21" s="19"/>
      <c r="D21" s="19"/>
      <c r="E21" s="19"/>
      <c r="F21" s="19" t="s">
        <v>38</v>
      </c>
      <c r="G21" s="19"/>
      <c r="H21" s="21"/>
      <c r="I21" s="21">
        <f>ROUND(SUM(I15:I20),5)</f>
        <v>311317</v>
      </c>
      <c r="J21" s="21"/>
      <c r="K21" s="21">
        <f>ROUND(SUM(K15:K20),5)</f>
        <v>394069</v>
      </c>
      <c r="L21" s="21"/>
      <c r="M21" s="21">
        <f>ROUND(SUM(M15:M20),5)</f>
        <v>371023</v>
      </c>
      <c r="N21" s="21"/>
      <c r="O21" s="21">
        <f>ROUND(SUM(O15:O20),5)</f>
        <v>310464.69</v>
      </c>
      <c r="P21" s="21"/>
      <c r="Q21" s="21">
        <f>ROUND(SUM(Q15:Q20),5)</f>
        <v>331338.40000000002</v>
      </c>
      <c r="R21" s="21"/>
      <c r="S21" s="22">
        <f>ROUND(SUM(S15:S20),5)</f>
        <v>256079</v>
      </c>
      <c r="T21" s="22"/>
      <c r="U21" s="22"/>
      <c r="V21" s="22"/>
      <c r="W21" s="22">
        <f>ROUND(SUM(W15:W20),5)</f>
        <v>134190</v>
      </c>
      <c r="X21" s="22"/>
      <c r="Y21" s="26">
        <f>ROUND(SUM(Y15:Y20),5)</f>
        <v>333500</v>
      </c>
      <c r="AA21" s="26">
        <f>ROUND(SUM(AA15:AA20),5)</f>
        <v>337000</v>
      </c>
      <c r="AC21" s="21">
        <f t="shared" ref="AC21:AE21" si="18">ROUND(SUM(AC15:AC20),5)</f>
        <v>332594.81800000003</v>
      </c>
      <c r="AD21" s="21">
        <f t="shared" si="18"/>
        <v>405457.35</v>
      </c>
      <c r="AE21" s="21">
        <f t="shared" si="18"/>
        <v>255579</v>
      </c>
      <c r="AG21" s="21">
        <f t="shared" ref="AG21:AI21" si="19">ROUND(SUM(AG15:AG20),5)</f>
        <v>-198404.818</v>
      </c>
      <c r="AH21" s="21">
        <f t="shared" si="19"/>
        <v>-271267.34999999998</v>
      </c>
      <c r="AI21" s="21">
        <f t="shared" si="19"/>
        <v>-121389</v>
      </c>
      <c r="AK21" s="21"/>
      <c r="AL21" s="21"/>
      <c r="AM21" s="21"/>
    </row>
    <row r="22" spans="1:39" s="25" customFormat="1" x14ac:dyDescent="0.2">
      <c r="A22" s="19"/>
      <c r="B22" s="19"/>
      <c r="C22" s="19"/>
      <c r="D22" s="19"/>
      <c r="E22" s="19"/>
      <c r="F22" s="19" t="s">
        <v>39</v>
      </c>
      <c r="G22" s="19"/>
      <c r="H22" s="21"/>
      <c r="I22" s="21"/>
      <c r="J22" s="21"/>
      <c r="K22" s="21"/>
      <c r="L22" s="21"/>
      <c r="M22" s="21"/>
      <c r="N22" s="21"/>
      <c r="O22" s="21"/>
      <c r="P22" s="21"/>
      <c r="Q22" s="21"/>
      <c r="R22" s="21"/>
      <c r="S22" s="22"/>
      <c r="T22" s="22"/>
      <c r="U22" s="22"/>
      <c r="V22" s="22"/>
      <c r="W22" s="22"/>
      <c r="X22" s="22"/>
      <c r="Y22" s="26"/>
      <c r="AA22" s="26"/>
      <c r="AC22" s="21"/>
      <c r="AD22" s="21"/>
      <c r="AE22" s="21"/>
      <c r="AG22" s="21"/>
      <c r="AH22" s="21"/>
      <c r="AI22" s="21"/>
      <c r="AK22" s="21"/>
      <c r="AL22" s="21"/>
      <c r="AM22" s="21"/>
    </row>
    <row r="23" spans="1:39" s="25" customFormat="1" x14ac:dyDescent="0.2">
      <c r="A23" s="19"/>
      <c r="B23" s="19"/>
      <c r="C23" s="19"/>
      <c r="D23" s="19"/>
      <c r="E23" s="19"/>
      <c r="F23" s="19"/>
      <c r="G23" s="19" t="s">
        <v>40</v>
      </c>
      <c r="H23" s="21"/>
      <c r="I23" s="21">
        <v>254415</v>
      </c>
      <c r="J23" s="21"/>
      <c r="K23" s="21">
        <v>266622</v>
      </c>
      <c r="L23" s="21"/>
      <c r="M23" s="21">
        <v>270431</v>
      </c>
      <c r="N23" s="21"/>
      <c r="O23" s="21">
        <v>274598.71000000002</v>
      </c>
      <c r="P23" s="21"/>
      <c r="Q23" s="21">
        <v>285640</v>
      </c>
      <c r="R23" s="21"/>
      <c r="S23" s="22">
        <v>293826</v>
      </c>
      <c r="T23" s="22"/>
      <c r="U23" s="22"/>
      <c r="V23" s="22"/>
      <c r="W23" s="22">
        <v>279945</v>
      </c>
      <c r="X23" s="22"/>
      <c r="Y23" s="26">
        <v>320000</v>
      </c>
      <c r="AA23" s="26">
        <v>320000</v>
      </c>
      <c r="AC23" s="21">
        <f t="shared" ref="AC23:AC25" si="20">AVERAGE(K23:S23)</f>
        <v>278223.54200000002</v>
      </c>
      <c r="AD23" s="21">
        <f>MAX(K23:S23)</f>
        <v>293826</v>
      </c>
      <c r="AE23" s="21">
        <f>MIN(K23:S23)</f>
        <v>266622</v>
      </c>
      <c r="AG23" s="21">
        <f t="shared" ref="AG23:AG25" si="21">+W23-AC23</f>
        <v>1721.4579999999842</v>
      </c>
      <c r="AH23" s="21">
        <f t="shared" ref="AH23:AH25" si="22">+W23-AD23</f>
        <v>-13881</v>
      </c>
      <c r="AI23" s="21">
        <f t="shared" ref="AI23:AI25" si="23">+W23-AE23</f>
        <v>13323</v>
      </c>
      <c r="AK23" s="21">
        <f t="shared" ref="AK23:AK25" si="24">+Y23-AC23</f>
        <v>41776.457999999984</v>
      </c>
      <c r="AL23" s="21">
        <f t="shared" ref="AL23:AL25" si="25">+Y23-AD23</f>
        <v>26174</v>
      </c>
      <c r="AM23" s="21">
        <f t="shared" ref="AM23:AM25" si="26">+Y23-AE23</f>
        <v>53378</v>
      </c>
    </row>
    <row r="24" spans="1:39" s="25" customFormat="1" x14ac:dyDescent="0.2">
      <c r="A24" s="19"/>
      <c r="B24" s="19"/>
      <c r="C24" s="19"/>
      <c r="D24" s="19"/>
      <c r="E24" s="19"/>
      <c r="F24" s="19"/>
      <c r="G24" s="19" t="s">
        <v>41</v>
      </c>
      <c r="H24" s="21"/>
      <c r="I24" s="21">
        <v>303980</v>
      </c>
      <c r="J24" s="21"/>
      <c r="K24" s="21">
        <v>331071</v>
      </c>
      <c r="L24" s="21"/>
      <c r="M24" s="21">
        <v>325491</v>
      </c>
      <c r="N24" s="21"/>
      <c r="O24" s="21">
        <v>344710.13</v>
      </c>
      <c r="P24" s="21"/>
      <c r="Q24" s="21">
        <v>257379.9</v>
      </c>
      <c r="R24" s="21"/>
      <c r="S24" s="22">
        <v>364899.94</v>
      </c>
      <c r="T24" s="22"/>
      <c r="U24" s="22"/>
      <c r="V24" s="22"/>
      <c r="W24" s="22">
        <v>422759.8</v>
      </c>
      <c r="X24" s="22"/>
      <c r="Y24" s="26">
        <v>435000</v>
      </c>
      <c r="AA24" s="26">
        <v>435000</v>
      </c>
      <c r="AC24" s="21">
        <f t="shared" si="20"/>
        <v>324710.39399999997</v>
      </c>
      <c r="AD24" s="21">
        <f>MAX(K24:S24)</f>
        <v>364899.94</v>
      </c>
      <c r="AE24" s="21">
        <f>MIN(K24:S24)</f>
        <v>257379.9</v>
      </c>
      <c r="AG24" s="21">
        <f t="shared" si="21"/>
        <v>98049.406000000017</v>
      </c>
      <c r="AH24" s="21">
        <f t="shared" si="22"/>
        <v>57859.859999999986</v>
      </c>
      <c r="AI24" s="21">
        <f t="shared" si="23"/>
        <v>165379.9</v>
      </c>
      <c r="AK24" s="21">
        <f t="shared" si="24"/>
        <v>110289.60600000003</v>
      </c>
      <c r="AL24" s="21">
        <f t="shared" si="25"/>
        <v>70100.06</v>
      </c>
      <c r="AM24" s="21">
        <f t="shared" si="26"/>
        <v>177620.1</v>
      </c>
    </row>
    <row r="25" spans="1:39" s="25" customFormat="1" ht="12" thickBot="1" x14ac:dyDescent="0.25">
      <c r="A25" s="19"/>
      <c r="B25" s="19"/>
      <c r="C25" s="19"/>
      <c r="D25" s="19"/>
      <c r="E25" s="19"/>
      <c r="F25" s="19"/>
      <c r="G25" s="19" t="s">
        <v>42</v>
      </c>
      <c r="H25" s="21"/>
      <c r="I25" s="33">
        <v>182345</v>
      </c>
      <c r="J25" s="21"/>
      <c r="K25" s="33">
        <v>228941</v>
      </c>
      <c r="L25" s="21"/>
      <c r="M25" s="33">
        <v>220681</v>
      </c>
      <c r="N25" s="21"/>
      <c r="O25" s="33">
        <v>182668.11</v>
      </c>
      <c r="P25" s="33"/>
      <c r="Q25" s="33">
        <v>327524.28999999998</v>
      </c>
      <c r="R25" s="33"/>
      <c r="S25" s="34">
        <v>344650.32</v>
      </c>
      <c r="T25" s="28"/>
      <c r="U25" s="28"/>
      <c r="V25" s="22"/>
      <c r="W25" s="34">
        <v>284097.58</v>
      </c>
      <c r="X25" s="22"/>
      <c r="Y25" s="35">
        <v>440000</v>
      </c>
      <c r="AA25" s="35">
        <v>440000</v>
      </c>
      <c r="AC25" s="33">
        <f t="shared" si="20"/>
        <v>260892.94399999999</v>
      </c>
      <c r="AD25" s="33">
        <f>MAX(K25:S25)</f>
        <v>344650.32</v>
      </c>
      <c r="AE25" s="33">
        <f>MIN(K25:S25)</f>
        <v>182668.11</v>
      </c>
      <c r="AG25" s="33">
        <f t="shared" si="21"/>
        <v>23204.636000000028</v>
      </c>
      <c r="AH25" s="33">
        <f t="shared" si="22"/>
        <v>-60552.739999999991</v>
      </c>
      <c r="AI25" s="33">
        <f t="shared" si="23"/>
        <v>101429.47000000003</v>
      </c>
      <c r="AK25" s="33">
        <f t="shared" si="24"/>
        <v>179107.05600000001</v>
      </c>
      <c r="AL25" s="33">
        <f t="shared" si="25"/>
        <v>95349.68</v>
      </c>
      <c r="AM25" s="33">
        <f t="shared" si="26"/>
        <v>257331.89</v>
      </c>
    </row>
    <row r="26" spans="1:39" s="25" customFormat="1" x14ac:dyDescent="0.2">
      <c r="A26" s="19"/>
      <c r="B26" s="19"/>
      <c r="C26" s="19"/>
      <c r="D26" s="19"/>
      <c r="E26" s="19"/>
      <c r="F26" s="19" t="s">
        <v>43</v>
      </c>
      <c r="G26" s="19"/>
      <c r="H26" s="21"/>
      <c r="I26" s="21">
        <f>ROUND(SUM(I22:I25),5)</f>
        <v>740740</v>
      </c>
      <c r="J26" s="21"/>
      <c r="K26" s="21">
        <f>ROUND(SUM(K22:K25),5)</f>
        <v>826634</v>
      </c>
      <c r="L26" s="21"/>
      <c r="M26" s="21">
        <f>ROUND(SUM(M22:M25),5)</f>
        <v>816603</v>
      </c>
      <c r="N26" s="21"/>
      <c r="O26" s="21">
        <f>ROUND(SUM(O22:O25),5)</f>
        <v>801976.95</v>
      </c>
      <c r="P26" s="21"/>
      <c r="Q26" s="21">
        <f>ROUND(SUM(Q22:Q25),5)</f>
        <v>870544.19</v>
      </c>
      <c r="R26" s="21"/>
      <c r="S26" s="22">
        <f>ROUND(SUM(S22:S25),5)</f>
        <v>1003376.26</v>
      </c>
      <c r="T26" s="22"/>
      <c r="U26" s="22"/>
      <c r="V26" s="22"/>
      <c r="W26" s="22">
        <f>ROUND(SUM(W22:W25),5)</f>
        <v>986802.38</v>
      </c>
      <c r="X26" s="22"/>
      <c r="Y26" s="26">
        <f>ROUND(SUM(Y22:Y25),5)</f>
        <v>1195000</v>
      </c>
      <c r="AA26" s="26">
        <f>ROUND(SUM(AA22:AA25),5)</f>
        <v>1195000</v>
      </c>
      <c r="AC26" s="21">
        <f t="shared" ref="AC26:AE26" si="27">ROUND(SUM(AC22:AC25),5)</f>
        <v>863826.88</v>
      </c>
      <c r="AD26" s="21">
        <f t="shared" si="27"/>
        <v>1003376.26</v>
      </c>
      <c r="AE26" s="21">
        <f t="shared" si="27"/>
        <v>706670.01</v>
      </c>
      <c r="AG26" s="21">
        <f t="shared" ref="AG26:AI26" si="28">ROUND(SUM(AG22:AG25),5)</f>
        <v>122975.5</v>
      </c>
      <c r="AH26" s="21">
        <f t="shared" si="28"/>
        <v>-16573.88</v>
      </c>
      <c r="AI26" s="21">
        <f t="shared" si="28"/>
        <v>280132.37</v>
      </c>
      <c r="AK26" s="21"/>
      <c r="AL26" s="21"/>
      <c r="AM26" s="21"/>
    </row>
    <row r="27" spans="1:39" s="25" customFormat="1" x14ac:dyDescent="0.2">
      <c r="A27" s="19"/>
      <c r="B27" s="19"/>
      <c r="C27" s="19"/>
      <c r="D27" s="19"/>
      <c r="E27" s="19"/>
      <c r="F27" s="19" t="s">
        <v>44</v>
      </c>
      <c r="G27" s="19"/>
      <c r="H27" s="21"/>
      <c r="I27" s="21"/>
      <c r="J27" s="21"/>
      <c r="K27" s="21"/>
      <c r="L27" s="21"/>
      <c r="M27" s="21"/>
      <c r="N27" s="21"/>
      <c r="O27" s="21"/>
      <c r="P27" s="21"/>
      <c r="Q27" s="21"/>
      <c r="R27" s="21"/>
      <c r="S27" s="22"/>
      <c r="T27" s="22"/>
      <c r="U27" s="22"/>
      <c r="V27" s="22"/>
      <c r="W27" s="22"/>
      <c r="X27" s="22"/>
      <c r="Y27" s="26"/>
      <c r="AA27" s="26"/>
      <c r="AC27" s="21"/>
      <c r="AD27" s="21"/>
      <c r="AE27" s="21"/>
      <c r="AG27" s="21"/>
      <c r="AH27" s="21"/>
      <c r="AI27" s="21"/>
      <c r="AK27" s="21"/>
      <c r="AL27" s="21"/>
      <c r="AM27" s="21"/>
    </row>
    <row r="28" spans="1:39" s="25" customFormat="1" x14ac:dyDescent="0.2">
      <c r="A28" s="19"/>
      <c r="B28" s="19"/>
      <c r="C28" s="19"/>
      <c r="D28" s="19"/>
      <c r="E28" s="19"/>
      <c r="F28" s="19"/>
      <c r="G28" s="19" t="s">
        <v>45</v>
      </c>
      <c r="H28" s="21"/>
      <c r="I28" s="21">
        <v>295226</v>
      </c>
      <c r="J28" s="21"/>
      <c r="K28" s="21">
        <v>386141</v>
      </c>
      <c r="L28" s="21"/>
      <c r="M28" s="21">
        <v>363570</v>
      </c>
      <c r="N28" s="21"/>
      <c r="O28" s="21">
        <v>484621.34</v>
      </c>
      <c r="P28" s="21"/>
      <c r="Q28" s="21">
        <v>560337.82999999996</v>
      </c>
      <c r="R28" s="21"/>
      <c r="S28" s="26">
        <v>269650.57</v>
      </c>
      <c r="T28" s="22"/>
      <c r="U28" s="22"/>
      <c r="V28" s="22"/>
      <c r="W28" s="26">
        <v>122883.85</v>
      </c>
      <c r="X28" s="22"/>
      <c r="Y28" s="26">
        <v>330000</v>
      </c>
      <c r="AA28" s="26">
        <v>300000</v>
      </c>
      <c r="AC28" s="21">
        <f t="shared" ref="AC28:AC30" si="29">AVERAGE(K28:S28)</f>
        <v>412864.14799999999</v>
      </c>
      <c r="AD28" s="21">
        <f>MAX(K28:S28)</f>
        <v>560337.82999999996</v>
      </c>
      <c r="AE28" s="21">
        <f>MIN(K28:S28)</f>
        <v>269650.57</v>
      </c>
      <c r="AG28" s="21">
        <f t="shared" ref="AG28:AG30" si="30">+W28-AC28</f>
        <v>-289980.29799999995</v>
      </c>
      <c r="AH28" s="21">
        <f t="shared" ref="AH28:AH30" si="31">+W28-AD28</f>
        <v>-437453.98</v>
      </c>
      <c r="AI28" s="21">
        <f t="shared" ref="AI28:AI30" si="32">+W28-AE28</f>
        <v>-146766.72</v>
      </c>
      <c r="AK28" s="21">
        <f t="shared" ref="AK28:AK30" si="33">+Y28-AC28</f>
        <v>-82864.147999999986</v>
      </c>
      <c r="AL28" s="21">
        <f t="shared" ref="AL28:AL30" si="34">+Y28-AD28</f>
        <v>-230337.82999999996</v>
      </c>
      <c r="AM28" s="21">
        <f t="shared" ref="AM28:AM30" si="35">+Y28-AE28</f>
        <v>60349.429999999993</v>
      </c>
    </row>
    <row r="29" spans="1:39" s="25" customFormat="1" x14ac:dyDescent="0.2">
      <c r="A29" s="19"/>
      <c r="B29" s="19"/>
      <c r="C29" s="19"/>
      <c r="D29" s="19"/>
      <c r="E29" s="19"/>
      <c r="F29" s="19"/>
      <c r="G29" s="19" t="s">
        <v>46</v>
      </c>
      <c r="H29" s="21"/>
      <c r="I29" s="21">
        <v>14510</v>
      </c>
      <c r="J29" s="21"/>
      <c r="K29" s="21">
        <v>12680</v>
      </c>
      <c r="L29" s="21"/>
      <c r="M29" s="21">
        <v>8510</v>
      </c>
      <c r="N29" s="21"/>
      <c r="O29" s="21">
        <v>18517.7</v>
      </c>
      <c r="P29" s="21"/>
      <c r="Q29" s="21">
        <v>21124</v>
      </c>
      <c r="R29" s="21"/>
      <c r="S29" s="22">
        <v>20662.150000000001</v>
      </c>
      <c r="T29" s="22"/>
      <c r="U29" s="22"/>
      <c r="V29" s="22"/>
      <c r="W29" s="22">
        <v>36870</v>
      </c>
      <c r="X29" s="22"/>
      <c r="Y29" s="26">
        <v>21500</v>
      </c>
      <c r="AA29" s="26">
        <v>35000</v>
      </c>
      <c r="AC29" s="21">
        <f t="shared" si="29"/>
        <v>16298.77</v>
      </c>
      <c r="AD29" s="21">
        <f>MAX(K29:S29)</f>
        <v>21124</v>
      </c>
      <c r="AE29" s="21">
        <f>MIN(K29:S29)</f>
        <v>8510</v>
      </c>
      <c r="AG29" s="21">
        <f t="shared" si="30"/>
        <v>20571.23</v>
      </c>
      <c r="AH29" s="21">
        <f t="shared" si="31"/>
        <v>15746</v>
      </c>
      <c r="AI29" s="21">
        <f t="shared" si="32"/>
        <v>28360</v>
      </c>
      <c r="AK29" s="21">
        <f t="shared" si="33"/>
        <v>5201.2299999999996</v>
      </c>
      <c r="AL29" s="21">
        <f t="shared" si="34"/>
        <v>376</v>
      </c>
      <c r="AM29" s="21">
        <f t="shared" si="35"/>
        <v>12990</v>
      </c>
    </row>
    <row r="30" spans="1:39" s="25" customFormat="1" ht="12" thickBot="1" x14ac:dyDescent="0.25">
      <c r="A30" s="19"/>
      <c r="B30" s="19"/>
      <c r="C30" s="19"/>
      <c r="D30" s="19"/>
      <c r="E30" s="19"/>
      <c r="F30" s="19"/>
      <c r="G30" s="19" t="s">
        <v>47</v>
      </c>
      <c r="H30" s="21"/>
      <c r="I30" s="27">
        <v>26730</v>
      </c>
      <c r="J30" s="21"/>
      <c r="K30" s="27">
        <v>31912</v>
      </c>
      <c r="L30" s="21"/>
      <c r="M30" s="27">
        <v>28139</v>
      </c>
      <c r="N30" s="21"/>
      <c r="O30" s="27">
        <v>30543.7</v>
      </c>
      <c r="P30" s="27"/>
      <c r="Q30" s="21">
        <v>24565</v>
      </c>
      <c r="R30" s="21"/>
      <c r="S30" s="28">
        <v>19770</v>
      </c>
      <c r="T30" s="28"/>
      <c r="U30" s="28"/>
      <c r="V30" s="22"/>
      <c r="W30" s="28">
        <v>17850</v>
      </c>
      <c r="X30" s="22"/>
      <c r="Y30" s="29">
        <v>20000</v>
      </c>
      <c r="AA30" s="29">
        <v>20000</v>
      </c>
      <c r="AC30" s="27">
        <f t="shared" si="29"/>
        <v>26985.940000000002</v>
      </c>
      <c r="AD30" s="27">
        <f>MAX(K30:S30)</f>
        <v>31912</v>
      </c>
      <c r="AE30" s="27">
        <f>MIN(K30:S30)</f>
        <v>19770</v>
      </c>
      <c r="AG30" s="27">
        <f t="shared" si="30"/>
        <v>-9135.9400000000023</v>
      </c>
      <c r="AH30" s="27">
        <f t="shared" si="31"/>
        <v>-14062</v>
      </c>
      <c r="AI30" s="27">
        <f t="shared" si="32"/>
        <v>-1920</v>
      </c>
      <c r="AK30" s="27">
        <f t="shared" si="33"/>
        <v>-6985.9400000000023</v>
      </c>
      <c r="AL30" s="27">
        <f t="shared" si="34"/>
        <v>-11912</v>
      </c>
      <c r="AM30" s="27">
        <f t="shared" si="35"/>
        <v>230</v>
      </c>
    </row>
    <row r="31" spans="1:39" s="25" customFormat="1" ht="12" thickBot="1" x14ac:dyDescent="0.25">
      <c r="A31" s="19"/>
      <c r="B31" s="19"/>
      <c r="C31" s="19"/>
      <c r="D31" s="19"/>
      <c r="E31" s="19"/>
      <c r="F31" s="19" t="s">
        <v>48</v>
      </c>
      <c r="G31" s="19"/>
      <c r="H31" s="21"/>
      <c r="I31" s="30">
        <f>ROUND(SUM(I27:I30),5)</f>
        <v>336466</v>
      </c>
      <c r="J31" s="21"/>
      <c r="K31" s="30">
        <f>ROUND(SUM(K27:K30),5)</f>
        <v>430733</v>
      </c>
      <c r="L31" s="21"/>
      <c r="M31" s="30">
        <f>ROUND(SUM(M27:M30),5)</f>
        <v>400219</v>
      </c>
      <c r="N31" s="21"/>
      <c r="O31" s="30">
        <f>ROUND(SUM(O27:O30),5)</f>
        <v>533682.74</v>
      </c>
      <c r="P31" s="30"/>
      <c r="Q31" s="30">
        <f>ROUND(SUM(Q27:Q30),5)</f>
        <v>606026.82999999996</v>
      </c>
      <c r="R31" s="30"/>
      <c r="S31" s="31">
        <f>ROUND(SUM(S27:S30),5)</f>
        <v>310082.71999999997</v>
      </c>
      <c r="T31" s="28"/>
      <c r="U31" s="28"/>
      <c r="V31" s="22"/>
      <c r="W31" s="31">
        <f>ROUND(SUM(W27:W30),5)</f>
        <v>177603.85</v>
      </c>
      <c r="X31" s="22"/>
      <c r="Y31" s="32">
        <f>ROUND(SUM(Y27:Y30),5)</f>
        <v>371500</v>
      </c>
      <c r="AA31" s="32">
        <f>ROUND(SUM(AA27:AA30),5)</f>
        <v>355000</v>
      </c>
      <c r="AC31" s="30">
        <f t="shared" ref="AC31:AE31" si="36">ROUND(SUM(AC27:AC30),5)</f>
        <v>456148.85800000001</v>
      </c>
      <c r="AD31" s="30">
        <f t="shared" si="36"/>
        <v>613373.82999999996</v>
      </c>
      <c r="AE31" s="30">
        <f t="shared" si="36"/>
        <v>297930.57</v>
      </c>
      <c r="AG31" s="30">
        <f t="shared" ref="AG31:AI31" si="37">ROUND(SUM(AG27:AG30),5)</f>
        <v>-278545.00799999997</v>
      </c>
      <c r="AH31" s="30">
        <f t="shared" si="37"/>
        <v>-435769.98</v>
      </c>
      <c r="AI31" s="30">
        <f t="shared" si="37"/>
        <v>-120326.72</v>
      </c>
      <c r="AK31" s="30"/>
      <c r="AL31" s="30"/>
      <c r="AM31" s="30"/>
    </row>
    <row r="32" spans="1:39" s="25" customFormat="1" x14ac:dyDescent="0.2">
      <c r="A32" s="19"/>
      <c r="B32" s="19"/>
      <c r="C32" s="19"/>
      <c r="D32" s="19"/>
      <c r="E32" s="19" t="s">
        <v>49</v>
      </c>
      <c r="F32" s="19"/>
      <c r="G32" s="19"/>
      <c r="H32" s="21"/>
      <c r="I32" s="21">
        <f>ROUND(I14+I21+I26+I31,5)</f>
        <v>1388523</v>
      </c>
      <c r="J32" s="21"/>
      <c r="K32" s="21">
        <f>ROUND(K14+K21+K26+K31,5)</f>
        <v>1651436</v>
      </c>
      <c r="L32" s="21"/>
      <c r="M32" s="21">
        <f>ROUND(M14+M21+M26+M31,5)</f>
        <v>1587845</v>
      </c>
      <c r="N32" s="21"/>
      <c r="O32" s="21">
        <f>ROUND(O14+O21+O26+O31,5)</f>
        <v>1646124.38</v>
      </c>
      <c r="P32" s="21"/>
      <c r="Q32" s="21">
        <f>ROUND(Q14+Q21+Q26+Q31,5)</f>
        <v>1807909.42</v>
      </c>
      <c r="R32" s="21"/>
      <c r="S32" s="22">
        <f>ROUND(S14+S21+S26+S31,5)</f>
        <v>1569537.98</v>
      </c>
      <c r="T32" s="22"/>
      <c r="U32" s="22"/>
      <c r="V32" s="22"/>
      <c r="W32" s="22">
        <f>ROUND(W14+W21+W26+W31,5)</f>
        <v>1298596.23</v>
      </c>
      <c r="X32" s="22"/>
      <c r="Y32" s="26">
        <f>ROUND(Y14+Y21+Y26+Y31,5)</f>
        <v>1900000</v>
      </c>
      <c r="AA32" s="26">
        <f>ROUND(AA14+AA21+AA26+AA31,5)</f>
        <v>1887000</v>
      </c>
      <c r="AC32" s="21">
        <f t="shared" ref="AC32:AE32" si="38">ROUND(AC14+AC21+AC26+AC31,5)</f>
        <v>1652570.5560000001</v>
      </c>
      <c r="AD32" s="21">
        <f t="shared" si="38"/>
        <v>2022207.44</v>
      </c>
      <c r="AE32" s="21">
        <f t="shared" si="38"/>
        <v>1260179.58</v>
      </c>
      <c r="AG32" s="21">
        <f t="shared" ref="AG32:AI32" si="39">ROUND(AG14+AG21+AG26+AG31,5)</f>
        <v>-353974.326</v>
      </c>
      <c r="AH32" s="21">
        <f t="shared" si="39"/>
        <v>-723611.21</v>
      </c>
      <c r="AI32" s="21">
        <f t="shared" si="39"/>
        <v>38416.65</v>
      </c>
      <c r="AK32" s="21"/>
      <c r="AL32" s="21"/>
      <c r="AM32" s="21"/>
    </row>
    <row r="33" spans="1:39" s="25" customFormat="1" x14ac:dyDescent="0.2">
      <c r="A33" s="19"/>
      <c r="B33" s="19"/>
      <c r="C33" s="19"/>
      <c r="D33" s="19"/>
      <c r="E33" s="19" t="s">
        <v>50</v>
      </c>
      <c r="F33" s="19"/>
      <c r="G33" s="19"/>
      <c r="H33" s="21"/>
      <c r="I33" s="21"/>
      <c r="J33" s="21"/>
      <c r="K33" s="21"/>
      <c r="L33" s="21"/>
      <c r="M33" s="21"/>
      <c r="N33" s="21"/>
      <c r="O33" s="21"/>
      <c r="P33" s="21"/>
      <c r="Q33" s="21"/>
      <c r="R33" s="21"/>
      <c r="S33" s="22"/>
      <c r="T33" s="22"/>
      <c r="U33" s="22"/>
      <c r="V33" s="22"/>
      <c r="W33" s="22"/>
      <c r="X33" s="22"/>
      <c r="Y33" s="26"/>
      <c r="AA33" s="26"/>
      <c r="AC33" s="21"/>
      <c r="AD33" s="21"/>
      <c r="AE33" s="21"/>
      <c r="AG33" s="21"/>
      <c r="AH33" s="21"/>
      <c r="AI33" s="21"/>
      <c r="AK33" s="21"/>
      <c r="AL33" s="21"/>
      <c r="AM33" s="21"/>
    </row>
    <row r="34" spans="1:39" s="25" customFormat="1" x14ac:dyDescent="0.2">
      <c r="A34" s="19"/>
      <c r="B34" s="19"/>
      <c r="C34" s="19"/>
      <c r="D34" s="19"/>
      <c r="E34" s="19"/>
      <c r="F34" s="19" t="s">
        <v>51</v>
      </c>
      <c r="G34" s="19"/>
      <c r="H34" s="21"/>
      <c r="I34" s="21"/>
      <c r="J34" s="21"/>
      <c r="K34" s="21"/>
      <c r="L34" s="21"/>
      <c r="M34" s="21"/>
      <c r="N34" s="21"/>
      <c r="O34" s="21"/>
      <c r="P34" s="21"/>
      <c r="Q34" s="21"/>
      <c r="R34" s="21"/>
      <c r="S34" s="22"/>
      <c r="T34" s="22"/>
      <c r="U34" s="22"/>
      <c r="V34" s="22"/>
      <c r="W34" s="22"/>
      <c r="X34" s="22"/>
      <c r="Y34" s="26"/>
      <c r="AA34" s="26"/>
      <c r="AC34" s="21"/>
      <c r="AD34" s="21"/>
      <c r="AE34" s="21"/>
      <c r="AG34" s="21"/>
      <c r="AH34" s="21"/>
      <c r="AI34" s="21"/>
      <c r="AK34" s="21"/>
      <c r="AL34" s="21"/>
      <c r="AM34" s="21"/>
    </row>
    <row r="35" spans="1:39" s="25" customFormat="1" x14ac:dyDescent="0.2">
      <c r="A35" s="19"/>
      <c r="B35" s="19"/>
      <c r="C35" s="19"/>
      <c r="D35" s="19"/>
      <c r="E35" s="19"/>
      <c r="F35" s="19"/>
      <c r="G35" s="24" t="s">
        <v>52</v>
      </c>
      <c r="H35" s="21"/>
      <c r="I35" s="21">
        <v>284400</v>
      </c>
      <c r="J35" s="21"/>
      <c r="K35" s="21">
        <v>254894</v>
      </c>
      <c r="L35" s="21"/>
      <c r="M35" s="21">
        <v>246030</v>
      </c>
      <c r="N35" s="21"/>
      <c r="O35" s="21">
        <v>256491.94</v>
      </c>
      <c r="P35" s="21"/>
      <c r="Q35" s="21">
        <v>221361.87</v>
      </c>
      <c r="R35" s="21"/>
      <c r="S35" s="26">
        <v>245494.38</v>
      </c>
      <c r="T35" s="22"/>
      <c r="U35" s="22"/>
      <c r="V35" s="22"/>
      <c r="W35" s="26">
        <v>102492.08</v>
      </c>
      <c r="X35" s="22"/>
      <c r="Y35" s="26">
        <v>250000</v>
      </c>
      <c r="AA35" s="26">
        <v>250000</v>
      </c>
      <c r="AC35" s="21">
        <f t="shared" ref="AC35:AC37" si="40">AVERAGE(K35:S35)</f>
        <v>244854.43799999999</v>
      </c>
      <c r="AD35" s="21">
        <f>MAX(K35:S35)</f>
        <v>256491.94</v>
      </c>
      <c r="AE35" s="21">
        <f>MIN(K35:S35)</f>
        <v>221361.87</v>
      </c>
      <c r="AG35" s="21">
        <f t="shared" ref="AG35:AG37" si="41">+W35-AC35</f>
        <v>-142362.35800000001</v>
      </c>
      <c r="AH35" s="21">
        <f t="shared" ref="AH35:AH37" si="42">+W35-AD35</f>
        <v>-153999.85999999999</v>
      </c>
      <c r="AI35" s="21">
        <f t="shared" ref="AI35:AI37" si="43">+W35-AE35</f>
        <v>-118869.79</v>
      </c>
      <c r="AK35" s="21">
        <f t="shared" ref="AK35:AK37" si="44">+Y35-AC35</f>
        <v>5145.5620000000054</v>
      </c>
      <c r="AL35" s="21">
        <f t="shared" ref="AL35:AL37" si="45">+Y35-AD35</f>
        <v>-6491.9400000000023</v>
      </c>
      <c r="AM35" s="21">
        <f t="shared" ref="AM35:AM37" si="46">+Y35-AE35</f>
        <v>28638.130000000005</v>
      </c>
    </row>
    <row r="36" spans="1:39" s="25" customFormat="1" x14ac:dyDescent="0.2">
      <c r="A36" s="19"/>
      <c r="B36" s="19"/>
      <c r="C36" s="19"/>
      <c r="D36" s="19"/>
      <c r="E36" s="19"/>
      <c r="F36" s="19"/>
      <c r="G36" s="19" t="s">
        <v>53</v>
      </c>
      <c r="H36" s="21"/>
      <c r="I36" s="21">
        <v>30680</v>
      </c>
      <c r="J36" s="21"/>
      <c r="K36" s="21">
        <v>33981</v>
      </c>
      <c r="L36" s="21"/>
      <c r="M36" s="21">
        <v>22642</v>
      </c>
      <c r="N36" s="21"/>
      <c r="O36" s="21">
        <v>8837.2199999999993</v>
      </c>
      <c r="P36" s="21"/>
      <c r="Q36" s="21">
        <v>23996.09</v>
      </c>
      <c r="R36" s="21"/>
      <c r="S36" s="22">
        <v>6911.71</v>
      </c>
      <c r="T36" s="22"/>
      <c r="U36" s="22"/>
      <c r="V36" s="22"/>
      <c r="W36" s="22">
        <v>3354.73</v>
      </c>
      <c r="X36" s="22"/>
      <c r="Y36" s="26">
        <v>8000</v>
      </c>
      <c r="AA36" s="26">
        <v>0</v>
      </c>
      <c r="AC36" s="21">
        <f t="shared" si="40"/>
        <v>19273.603999999999</v>
      </c>
      <c r="AD36" s="21">
        <f>MAX(K36:S36)</f>
        <v>33981</v>
      </c>
      <c r="AE36" s="21">
        <f>MIN(K36:S36)</f>
        <v>6911.71</v>
      </c>
      <c r="AG36" s="21">
        <f t="shared" si="41"/>
        <v>-15918.874</v>
      </c>
      <c r="AH36" s="21">
        <f t="shared" si="42"/>
        <v>-30626.27</v>
      </c>
      <c r="AI36" s="21">
        <f t="shared" si="43"/>
        <v>-3556.98</v>
      </c>
      <c r="AK36" s="21">
        <f t="shared" si="44"/>
        <v>-11273.603999999999</v>
      </c>
      <c r="AL36" s="21">
        <f t="shared" si="45"/>
        <v>-25981</v>
      </c>
      <c r="AM36" s="21">
        <f t="shared" si="46"/>
        <v>1088.29</v>
      </c>
    </row>
    <row r="37" spans="1:39" s="25" customFormat="1" ht="12" thickBot="1" x14ac:dyDescent="0.25">
      <c r="A37" s="19"/>
      <c r="B37" s="19"/>
      <c r="C37" s="19"/>
      <c r="D37" s="19"/>
      <c r="E37" s="19"/>
      <c r="F37" s="19"/>
      <c r="G37" s="24" t="s">
        <v>54</v>
      </c>
      <c r="H37" s="21"/>
      <c r="I37" s="33">
        <v>2790</v>
      </c>
      <c r="J37" s="21"/>
      <c r="K37" s="33">
        <v>1820</v>
      </c>
      <c r="L37" s="21"/>
      <c r="M37" s="33">
        <v>30</v>
      </c>
      <c r="N37" s="21"/>
      <c r="O37" s="33">
        <v>0</v>
      </c>
      <c r="P37" s="33"/>
      <c r="Q37" s="33">
        <v>0</v>
      </c>
      <c r="R37" s="33"/>
      <c r="S37" s="34">
        <v>0</v>
      </c>
      <c r="T37" s="28"/>
      <c r="U37" s="28"/>
      <c r="V37" s="22"/>
      <c r="W37" s="34">
        <v>0</v>
      </c>
      <c r="X37" s="22"/>
      <c r="Y37" s="35">
        <v>0</v>
      </c>
      <c r="AA37" s="35"/>
      <c r="AC37" s="33">
        <f t="shared" si="40"/>
        <v>370</v>
      </c>
      <c r="AD37" s="33">
        <f>MAX(K37:S37)</f>
        <v>1820</v>
      </c>
      <c r="AE37" s="33">
        <f>MIN(K37:S37)</f>
        <v>0</v>
      </c>
      <c r="AG37" s="33">
        <f t="shared" si="41"/>
        <v>-370</v>
      </c>
      <c r="AH37" s="33">
        <f t="shared" si="42"/>
        <v>-1820</v>
      </c>
      <c r="AI37" s="33">
        <f t="shared" si="43"/>
        <v>0</v>
      </c>
      <c r="AK37" s="33">
        <f t="shared" si="44"/>
        <v>-370</v>
      </c>
      <c r="AL37" s="33">
        <f t="shared" si="45"/>
        <v>-1820</v>
      </c>
      <c r="AM37" s="33">
        <f t="shared" si="46"/>
        <v>0</v>
      </c>
    </row>
    <row r="38" spans="1:39" s="25" customFormat="1" x14ac:dyDescent="0.2">
      <c r="A38" s="19"/>
      <c r="B38" s="19"/>
      <c r="C38" s="19"/>
      <c r="D38" s="19"/>
      <c r="E38" s="19"/>
      <c r="F38" s="19" t="s">
        <v>55</v>
      </c>
      <c r="G38" s="19"/>
      <c r="H38" s="21"/>
      <c r="I38" s="21">
        <f>ROUND(SUM(I34:I37),5)</f>
        <v>317870</v>
      </c>
      <c r="J38" s="21"/>
      <c r="K38" s="21">
        <f>ROUND(SUM(K34:K37),5)</f>
        <v>290695</v>
      </c>
      <c r="L38" s="21"/>
      <c r="M38" s="21">
        <f>ROUND(SUM(M34:M37),5)</f>
        <v>268702</v>
      </c>
      <c r="N38" s="21"/>
      <c r="O38" s="21">
        <f>ROUND(SUM(O34:O37),5)</f>
        <v>265329.15999999997</v>
      </c>
      <c r="P38" s="21"/>
      <c r="Q38" s="21">
        <f>ROUND(SUM(Q34:Q37),5)</f>
        <v>245357.96</v>
      </c>
      <c r="R38" s="21"/>
      <c r="S38" s="22">
        <f>ROUND(SUM(S34:S37),5)</f>
        <v>252406.09</v>
      </c>
      <c r="T38" s="22"/>
      <c r="U38" s="22"/>
      <c r="V38" s="22"/>
      <c r="W38" s="22">
        <f>ROUND(SUM(W34:W37),5)</f>
        <v>105846.81</v>
      </c>
      <c r="X38" s="22"/>
      <c r="Y38" s="26">
        <f>ROUND(SUM(Y34:Y37),5)</f>
        <v>258000</v>
      </c>
      <c r="AA38" s="26">
        <f>ROUND(SUM(AA34:AA37),5)</f>
        <v>250000</v>
      </c>
      <c r="AC38" s="21">
        <f t="shared" ref="AC38:AE38" si="47">ROUND(SUM(AC34:AC37),5)</f>
        <v>264498.04200000002</v>
      </c>
      <c r="AD38" s="21">
        <f t="shared" si="47"/>
        <v>292292.94</v>
      </c>
      <c r="AE38" s="21">
        <f t="shared" si="47"/>
        <v>228273.58</v>
      </c>
      <c r="AG38" s="21">
        <f t="shared" ref="AG38:AI38" si="48">ROUND(SUM(AG34:AG37),5)</f>
        <v>-158651.23199999999</v>
      </c>
      <c r="AH38" s="21">
        <f t="shared" si="48"/>
        <v>-186446.13</v>
      </c>
      <c r="AI38" s="21">
        <f t="shared" si="48"/>
        <v>-122426.77</v>
      </c>
      <c r="AK38" s="21"/>
      <c r="AL38" s="21"/>
      <c r="AM38" s="21"/>
    </row>
    <row r="39" spans="1:39" s="25" customFormat="1" x14ac:dyDescent="0.2">
      <c r="A39" s="19"/>
      <c r="B39" s="19"/>
      <c r="C39" s="19"/>
      <c r="D39" s="19"/>
      <c r="E39" s="19"/>
      <c r="F39" s="19" t="s">
        <v>56</v>
      </c>
      <c r="G39" s="19"/>
      <c r="H39" s="21"/>
      <c r="I39" s="21"/>
      <c r="J39" s="21"/>
      <c r="K39" s="21"/>
      <c r="L39" s="21"/>
      <c r="M39" s="21"/>
      <c r="N39" s="21"/>
      <c r="O39" s="21"/>
      <c r="P39" s="21"/>
      <c r="Q39" s="21"/>
      <c r="R39" s="21"/>
      <c r="S39" s="22"/>
      <c r="T39" s="22"/>
      <c r="U39" s="22"/>
      <c r="V39" s="22"/>
      <c r="W39" s="22"/>
      <c r="X39" s="22"/>
      <c r="Y39" s="26"/>
      <c r="AA39" s="26"/>
      <c r="AC39" s="21"/>
      <c r="AD39" s="21"/>
      <c r="AE39" s="21"/>
      <c r="AG39" s="21"/>
      <c r="AH39" s="21"/>
      <c r="AI39" s="21"/>
      <c r="AK39" s="21"/>
      <c r="AL39" s="21"/>
      <c r="AM39" s="21"/>
    </row>
    <row r="40" spans="1:39" s="25" customFormat="1" x14ac:dyDescent="0.2">
      <c r="A40" s="19"/>
      <c r="B40" s="19"/>
      <c r="C40" s="19"/>
      <c r="D40" s="19"/>
      <c r="E40" s="19"/>
      <c r="F40" s="19"/>
      <c r="G40" s="24" t="s">
        <v>57</v>
      </c>
      <c r="H40" s="21"/>
      <c r="I40" s="21">
        <v>95754</v>
      </c>
      <c r="J40" s="21"/>
      <c r="K40" s="21">
        <v>89658</v>
      </c>
      <c r="L40" s="21"/>
      <c r="M40" s="21">
        <v>89975</v>
      </c>
      <c r="N40" s="21"/>
      <c r="O40" s="21">
        <v>80857.58</v>
      </c>
      <c r="P40" s="21"/>
      <c r="Q40" s="21">
        <v>69290.350000000006</v>
      </c>
      <c r="R40" s="21"/>
      <c r="S40" s="22">
        <v>50464.67</v>
      </c>
      <c r="T40" s="22"/>
      <c r="U40" s="22"/>
      <c r="V40" s="22"/>
      <c r="W40" s="22">
        <v>41778.800000000003</v>
      </c>
      <c r="X40" s="22"/>
      <c r="Y40" s="26">
        <v>70000</v>
      </c>
      <c r="AA40" s="26">
        <v>70000</v>
      </c>
      <c r="AC40" s="21">
        <f t="shared" ref="AC40:AC45" si="49">AVERAGE(K40:S40)</f>
        <v>76049.12000000001</v>
      </c>
      <c r="AD40" s="21">
        <f t="shared" ref="AD40:AD45" si="50">MAX(K40:S40)</f>
        <v>89975</v>
      </c>
      <c r="AE40" s="21">
        <f t="shared" ref="AE40:AE45" si="51">MIN(K40:S40)</f>
        <v>50464.67</v>
      </c>
      <c r="AG40" s="21">
        <f t="shared" ref="AG40:AG45" si="52">+W40-AC40</f>
        <v>-34270.320000000007</v>
      </c>
      <c r="AH40" s="21">
        <f t="shared" ref="AH40:AH45" si="53">+W40-AD40</f>
        <v>-48196.2</v>
      </c>
      <c r="AI40" s="21">
        <f t="shared" ref="AI40:AI45" si="54">+W40-AE40</f>
        <v>-8685.8699999999953</v>
      </c>
      <c r="AK40" s="21">
        <f t="shared" ref="AK40:AK45" si="55">+Y40-AC40</f>
        <v>-6049.1200000000099</v>
      </c>
      <c r="AL40" s="21">
        <f t="shared" ref="AL40:AL45" si="56">+Y40-AD40</f>
        <v>-19975</v>
      </c>
      <c r="AM40" s="21">
        <f t="shared" ref="AM40:AM45" si="57">+Y40-AE40</f>
        <v>19535.330000000002</v>
      </c>
    </row>
    <row r="41" spans="1:39" s="25" customFormat="1" x14ac:dyDescent="0.2">
      <c r="A41" s="19"/>
      <c r="B41" s="19"/>
      <c r="C41" s="19"/>
      <c r="D41" s="19"/>
      <c r="E41" s="19"/>
      <c r="F41" s="19"/>
      <c r="G41" s="24" t="s">
        <v>58</v>
      </c>
      <c r="H41" s="21"/>
      <c r="I41" s="21">
        <v>21087</v>
      </c>
      <c r="J41" s="21"/>
      <c r="K41" s="21">
        <v>17438</v>
      </c>
      <c r="L41" s="21"/>
      <c r="M41" s="21">
        <v>40343</v>
      </c>
      <c r="N41" s="21"/>
      <c r="O41" s="21">
        <v>19912.830000000002</v>
      </c>
      <c r="P41" s="21"/>
      <c r="Q41" s="21">
        <v>13208.75</v>
      </c>
      <c r="R41" s="21"/>
      <c r="S41" s="22">
        <v>9236.32</v>
      </c>
      <c r="T41" s="22"/>
      <c r="U41" s="22"/>
      <c r="V41" s="22"/>
      <c r="W41" s="22">
        <v>6131.59</v>
      </c>
      <c r="X41" s="22"/>
      <c r="Y41" s="26">
        <v>15000</v>
      </c>
      <c r="AA41" s="26">
        <v>15000</v>
      </c>
      <c r="AC41" s="21">
        <f t="shared" si="49"/>
        <v>20027.78</v>
      </c>
      <c r="AD41" s="21">
        <f t="shared" si="50"/>
        <v>40343</v>
      </c>
      <c r="AE41" s="21">
        <f t="shared" si="51"/>
        <v>9236.32</v>
      </c>
      <c r="AG41" s="21">
        <f t="shared" si="52"/>
        <v>-13896.189999999999</v>
      </c>
      <c r="AH41" s="21">
        <f t="shared" si="53"/>
        <v>-34211.410000000003</v>
      </c>
      <c r="AI41" s="21">
        <f t="shared" si="54"/>
        <v>-3104.7299999999996</v>
      </c>
      <c r="AK41" s="21">
        <f t="shared" si="55"/>
        <v>-5027.7799999999988</v>
      </c>
      <c r="AL41" s="21">
        <f t="shared" si="56"/>
        <v>-25343</v>
      </c>
      <c r="AM41" s="21">
        <f t="shared" si="57"/>
        <v>5763.68</v>
      </c>
    </row>
    <row r="42" spans="1:39" s="25" customFormat="1" x14ac:dyDescent="0.2">
      <c r="A42" s="19"/>
      <c r="B42" s="19"/>
      <c r="C42" s="19"/>
      <c r="D42" s="19"/>
      <c r="E42" s="19"/>
      <c r="F42" s="19"/>
      <c r="G42" s="24" t="s">
        <v>59</v>
      </c>
      <c r="H42" s="21"/>
      <c r="I42" s="21">
        <v>6750</v>
      </c>
      <c r="J42" s="21"/>
      <c r="K42" s="21">
        <v>5893</v>
      </c>
      <c r="L42" s="21"/>
      <c r="M42" s="21">
        <v>3330</v>
      </c>
      <c r="N42" s="21"/>
      <c r="O42" s="21">
        <v>1580</v>
      </c>
      <c r="P42" s="21"/>
      <c r="Q42" s="21">
        <v>900</v>
      </c>
      <c r="R42" s="21"/>
      <c r="S42" s="22">
        <v>540</v>
      </c>
      <c r="T42" s="22"/>
      <c r="U42" s="22"/>
      <c r="V42" s="22"/>
      <c r="W42" s="22">
        <v>0</v>
      </c>
      <c r="X42" s="22"/>
      <c r="Y42" s="26">
        <v>750</v>
      </c>
      <c r="AA42" s="26">
        <v>0</v>
      </c>
      <c r="AC42" s="21">
        <f t="shared" si="49"/>
        <v>2448.6</v>
      </c>
      <c r="AD42" s="21">
        <f t="shared" si="50"/>
        <v>5893</v>
      </c>
      <c r="AE42" s="21">
        <f t="shared" si="51"/>
        <v>540</v>
      </c>
      <c r="AG42" s="21">
        <f t="shared" si="52"/>
        <v>-2448.6</v>
      </c>
      <c r="AH42" s="21">
        <f t="shared" si="53"/>
        <v>-5893</v>
      </c>
      <c r="AI42" s="21">
        <f t="shared" si="54"/>
        <v>-540</v>
      </c>
      <c r="AK42" s="21">
        <f t="shared" si="55"/>
        <v>-1698.6</v>
      </c>
      <c r="AL42" s="21">
        <f t="shared" si="56"/>
        <v>-5143</v>
      </c>
      <c r="AM42" s="21">
        <f t="shared" si="57"/>
        <v>210</v>
      </c>
    </row>
    <row r="43" spans="1:39" s="25" customFormat="1" x14ac:dyDescent="0.2">
      <c r="A43" s="19"/>
      <c r="B43" s="19"/>
      <c r="C43" s="19"/>
      <c r="D43" s="19"/>
      <c r="E43" s="19"/>
      <c r="F43" s="19"/>
      <c r="G43" s="19" t="s">
        <v>60</v>
      </c>
      <c r="H43" s="21"/>
      <c r="I43" s="21">
        <v>108</v>
      </c>
      <c r="J43" s="21"/>
      <c r="K43" s="21">
        <v>488</v>
      </c>
      <c r="L43" s="21"/>
      <c r="M43" s="21">
        <v>1840</v>
      </c>
      <c r="N43" s="21"/>
      <c r="O43" s="21">
        <v>6174.9</v>
      </c>
      <c r="P43" s="21"/>
      <c r="Q43" s="21">
        <v>474.12</v>
      </c>
      <c r="R43" s="21"/>
      <c r="S43" s="22">
        <v>1674.17</v>
      </c>
      <c r="T43" s="22"/>
      <c r="U43" s="22"/>
      <c r="V43" s="22"/>
      <c r="W43" s="22">
        <v>929.13</v>
      </c>
      <c r="X43" s="22"/>
      <c r="Y43" s="26">
        <v>500</v>
      </c>
      <c r="AA43" s="26">
        <v>750</v>
      </c>
      <c r="AC43" s="21">
        <f t="shared" si="49"/>
        <v>2130.2380000000003</v>
      </c>
      <c r="AD43" s="21">
        <f t="shared" si="50"/>
        <v>6174.9</v>
      </c>
      <c r="AE43" s="21">
        <f t="shared" si="51"/>
        <v>474.12</v>
      </c>
      <c r="AG43" s="21">
        <f t="shared" si="52"/>
        <v>-1201.1080000000002</v>
      </c>
      <c r="AH43" s="21">
        <f t="shared" si="53"/>
        <v>-5245.7699999999995</v>
      </c>
      <c r="AI43" s="21">
        <f t="shared" si="54"/>
        <v>455.01</v>
      </c>
      <c r="AK43" s="21">
        <f t="shared" si="55"/>
        <v>-1630.2380000000003</v>
      </c>
      <c r="AL43" s="21">
        <f t="shared" si="56"/>
        <v>-5674.9</v>
      </c>
      <c r="AM43" s="21">
        <f t="shared" si="57"/>
        <v>25.879999999999995</v>
      </c>
    </row>
    <row r="44" spans="1:39" s="25" customFormat="1" x14ac:dyDescent="0.2">
      <c r="A44" s="19"/>
      <c r="B44" s="19"/>
      <c r="C44" s="19"/>
      <c r="D44" s="19"/>
      <c r="E44" s="19"/>
      <c r="F44" s="19"/>
      <c r="G44" s="19" t="s">
        <v>61</v>
      </c>
      <c r="H44" s="21"/>
      <c r="I44" s="21"/>
      <c r="J44" s="21"/>
      <c r="K44" s="21"/>
      <c r="L44" s="21"/>
      <c r="M44" s="21">
        <v>937</v>
      </c>
      <c r="N44" s="21"/>
      <c r="O44" s="21">
        <v>1171.75</v>
      </c>
      <c r="P44" s="21"/>
      <c r="Q44" s="21">
        <v>2385.5</v>
      </c>
      <c r="R44" s="21"/>
      <c r="S44" s="22">
        <v>1319.85</v>
      </c>
      <c r="T44" s="22"/>
      <c r="U44" s="22"/>
      <c r="V44" s="22"/>
      <c r="W44" s="22">
        <v>1158</v>
      </c>
      <c r="X44" s="22"/>
      <c r="Y44" s="26">
        <v>1200</v>
      </c>
      <c r="AA44" s="26">
        <v>1500</v>
      </c>
      <c r="AC44" s="21">
        <f t="shared" si="49"/>
        <v>1453.5250000000001</v>
      </c>
      <c r="AD44" s="21">
        <f t="shared" si="50"/>
        <v>2385.5</v>
      </c>
      <c r="AE44" s="21">
        <f t="shared" si="51"/>
        <v>937</v>
      </c>
      <c r="AG44" s="21">
        <f t="shared" si="52"/>
        <v>-295.52500000000009</v>
      </c>
      <c r="AH44" s="21">
        <f t="shared" si="53"/>
        <v>-1227.5</v>
      </c>
      <c r="AI44" s="21">
        <f t="shared" si="54"/>
        <v>221</v>
      </c>
      <c r="AK44" s="21">
        <f t="shared" si="55"/>
        <v>-253.52500000000009</v>
      </c>
      <c r="AL44" s="21">
        <f t="shared" si="56"/>
        <v>-1185.5</v>
      </c>
      <c r="AM44" s="21">
        <f t="shared" si="57"/>
        <v>263</v>
      </c>
    </row>
    <row r="45" spans="1:39" s="25" customFormat="1" ht="12" thickBot="1" x14ac:dyDescent="0.25">
      <c r="A45" s="19"/>
      <c r="B45" s="19"/>
      <c r="C45" s="19"/>
      <c r="D45" s="19"/>
      <c r="E45" s="19"/>
      <c r="F45" s="19"/>
      <c r="G45" s="19" t="s">
        <v>62</v>
      </c>
      <c r="H45" s="21"/>
      <c r="I45" s="21">
        <v>4043</v>
      </c>
      <c r="J45" s="21"/>
      <c r="K45" s="21">
        <v>2342</v>
      </c>
      <c r="L45" s="21"/>
      <c r="M45" s="21">
        <v>3169</v>
      </c>
      <c r="N45" s="21"/>
      <c r="O45" s="21">
        <v>2061.34</v>
      </c>
      <c r="P45" s="21"/>
      <c r="Q45" s="21">
        <v>3106.5</v>
      </c>
      <c r="R45" s="21"/>
      <c r="S45" s="22">
        <v>1686.4</v>
      </c>
      <c r="T45" s="22"/>
      <c r="U45" s="22"/>
      <c r="V45" s="22"/>
      <c r="W45" s="22">
        <v>370</v>
      </c>
      <c r="X45" s="22"/>
      <c r="Y45" s="26">
        <v>2000</v>
      </c>
      <c r="AA45" s="26">
        <v>1000</v>
      </c>
      <c r="AC45" s="21">
        <f t="shared" si="49"/>
        <v>2473.0479999999998</v>
      </c>
      <c r="AD45" s="21">
        <f t="shared" si="50"/>
        <v>3169</v>
      </c>
      <c r="AE45" s="21">
        <f t="shared" si="51"/>
        <v>1686.4</v>
      </c>
      <c r="AG45" s="21">
        <f t="shared" si="52"/>
        <v>-2103.0479999999998</v>
      </c>
      <c r="AH45" s="21">
        <f t="shared" si="53"/>
        <v>-2799</v>
      </c>
      <c r="AI45" s="21">
        <f t="shared" si="54"/>
        <v>-1316.4</v>
      </c>
      <c r="AK45" s="21">
        <f t="shared" si="55"/>
        <v>-473.04799999999977</v>
      </c>
      <c r="AL45" s="21">
        <f t="shared" si="56"/>
        <v>-1169</v>
      </c>
      <c r="AM45" s="21">
        <f t="shared" si="57"/>
        <v>313.59999999999991</v>
      </c>
    </row>
    <row r="46" spans="1:39" s="25" customFormat="1" ht="12" thickBot="1" x14ac:dyDescent="0.25">
      <c r="A46" s="19"/>
      <c r="B46" s="19"/>
      <c r="C46" s="19"/>
      <c r="D46" s="19"/>
      <c r="E46" s="19"/>
      <c r="F46" s="19" t="s">
        <v>63</v>
      </c>
      <c r="G46" s="19"/>
      <c r="H46" s="21"/>
      <c r="I46" s="30">
        <f>ROUND(SUM(I39:I45),5)</f>
        <v>127742</v>
      </c>
      <c r="J46" s="21"/>
      <c r="K46" s="30">
        <f>ROUND(SUM(K39:K45),5)</f>
        <v>115819</v>
      </c>
      <c r="L46" s="21"/>
      <c r="M46" s="30">
        <f>ROUND(SUM(M39:M45),5)</f>
        <v>139594</v>
      </c>
      <c r="N46" s="21"/>
      <c r="O46" s="30">
        <f>ROUND(SUM(O39:O45),5)</f>
        <v>111758.39999999999</v>
      </c>
      <c r="P46" s="30"/>
      <c r="Q46" s="30">
        <f>ROUND(SUM(Q39:Q45),5)</f>
        <v>89365.22</v>
      </c>
      <c r="R46" s="30"/>
      <c r="S46" s="31">
        <f>ROUND(SUM(S39:S45),5)</f>
        <v>64921.41</v>
      </c>
      <c r="T46" s="28"/>
      <c r="U46" s="28"/>
      <c r="V46" s="22"/>
      <c r="W46" s="31">
        <f>ROUND(SUM(W39:W45),5)</f>
        <v>50367.519999999997</v>
      </c>
      <c r="X46" s="22"/>
      <c r="Y46" s="32">
        <f>ROUND(SUM(Y39:Y45),5)</f>
        <v>89450</v>
      </c>
      <c r="AA46" s="32">
        <f>ROUND(SUM(AA39:AA45),5)</f>
        <v>88250</v>
      </c>
      <c r="AC46" s="30">
        <f t="shared" ref="AC46:AE46" si="58">ROUND(SUM(AC39:AC45),5)</f>
        <v>104582.311</v>
      </c>
      <c r="AD46" s="30">
        <f t="shared" si="58"/>
        <v>147940.4</v>
      </c>
      <c r="AE46" s="30">
        <f t="shared" si="58"/>
        <v>63338.51</v>
      </c>
      <c r="AG46" s="30">
        <f t="shared" ref="AG46:AI46" si="59">ROUND(SUM(AG39:AG45),5)</f>
        <v>-54214.790999999997</v>
      </c>
      <c r="AH46" s="30">
        <f t="shared" si="59"/>
        <v>-97572.88</v>
      </c>
      <c r="AI46" s="30">
        <f t="shared" si="59"/>
        <v>-12970.99</v>
      </c>
      <c r="AK46" s="30"/>
      <c r="AL46" s="30"/>
      <c r="AM46" s="30"/>
    </row>
    <row r="47" spans="1:39" s="25" customFormat="1" x14ac:dyDescent="0.2">
      <c r="A47" s="19"/>
      <c r="B47" s="19"/>
      <c r="C47" s="19"/>
      <c r="D47" s="19"/>
      <c r="E47" s="19" t="s">
        <v>64</v>
      </c>
      <c r="F47" s="19"/>
      <c r="G47" s="19"/>
      <c r="H47" s="21"/>
      <c r="I47" s="21">
        <f>ROUND(I33+I38+I46,5)</f>
        <v>445612</v>
      </c>
      <c r="J47" s="21"/>
      <c r="K47" s="21">
        <f>ROUND(K33+K38+K46,5)</f>
        <v>406514</v>
      </c>
      <c r="L47" s="21"/>
      <c r="M47" s="21">
        <f>ROUND(M33+M38+M46,5)</f>
        <v>408296</v>
      </c>
      <c r="N47" s="21"/>
      <c r="O47" s="21">
        <f>ROUND(O33+O38+O46,5)</f>
        <v>377087.56</v>
      </c>
      <c r="P47" s="21"/>
      <c r="Q47" s="21">
        <f>ROUND(Q33+Q38+Q46,5)</f>
        <v>334723.18</v>
      </c>
      <c r="R47" s="21"/>
      <c r="S47" s="22">
        <f>ROUND(S33+S38+S46,5)</f>
        <v>317327.5</v>
      </c>
      <c r="T47" s="22"/>
      <c r="U47" s="22"/>
      <c r="V47" s="22"/>
      <c r="W47" s="22">
        <f>ROUND(W33+W38+W46,5)</f>
        <v>156214.32999999999</v>
      </c>
      <c r="X47" s="22"/>
      <c r="Y47" s="26">
        <f>ROUND(Y33+Y38+Y46,5)</f>
        <v>347450</v>
      </c>
      <c r="AA47" s="26">
        <f>ROUND(AA33+AA38+AA46,5)</f>
        <v>338250</v>
      </c>
      <c r="AC47" s="21">
        <f>ROUND(AC33+AC38+AC46,5)</f>
        <v>369080.353</v>
      </c>
      <c r="AD47" s="21">
        <f t="shared" ref="AD47:AE47" si="60">ROUND(AD33+AD38+AD46,5)</f>
        <v>440233.34</v>
      </c>
      <c r="AE47" s="21">
        <f t="shared" si="60"/>
        <v>291612.09000000003</v>
      </c>
      <c r="AG47" s="21">
        <f>ROUND(AG33+AG38+AG46,5)</f>
        <v>-212866.02299999999</v>
      </c>
      <c r="AH47" s="21">
        <f t="shared" ref="AH47:AI47" si="61">ROUND(AH33+AH38+AH46,5)</f>
        <v>-284019.01</v>
      </c>
      <c r="AI47" s="21">
        <f t="shared" si="61"/>
        <v>-135397.76000000001</v>
      </c>
      <c r="AK47" s="21"/>
      <c r="AL47" s="21"/>
      <c r="AM47" s="21"/>
    </row>
    <row r="48" spans="1:39" s="25" customFormat="1" x14ac:dyDescent="0.2">
      <c r="A48" s="19"/>
      <c r="B48" s="19"/>
      <c r="C48" s="19"/>
      <c r="D48" s="19"/>
      <c r="E48" s="19" t="s">
        <v>65</v>
      </c>
      <c r="F48" s="19"/>
      <c r="G48" s="19"/>
      <c r="H48" s="21"/>
      <c r="I48" s="21"/>
      <c r="J48" s="21"/>
      <c r="K48" s="21"/>
      <c r="L48" s="21"/>
      <c r="M48" s="21"/>
      <c r="N48" s="21"/>
      <c r="O48" s="21"/>
      <c r="P48" s="21"/>
      <c r="Q48" s="21"/>
      <c r="R48" s="21"/>
      <c r="S48" s="22"/>
      <c r="T48" s="22"/>
      <c r="U48" s="22"/>
      <c r="V48" s="22"/>
      <c r="W48" s="22"/>
      <c r="X48" s="22"/>
      <c r="Y48" s="26"/>
      <c r="AA48" s="26"/>
      <c r="AC48" s="21"/>
      <c r="AD48" s="21"/>
      <c r="AE48" s="21"/>
      <c r="AG48" s="21"/>
      <c r="AH48" s="21"/>
      <c r="AI48" s="21"/>
      <c r="AK48" s="21"/>
      <c r="AL48" s="21"/>
      <c r="AM48" s="21"/>
    </row>
    <row r="49" spans="1:39" s="25" customFormat="1" x14ac:dyDescent="0.2">
      <c r="A49" s="19"/>
      <c r="B49" s="19"/>
      <c r="C49" s="19"/>
      <c r="D49" s="19"/>
      <c r="E49" s="19"/>
      <c r="F49" s="24" t="s">
        <v>66</v>
      </c>
      <c r="G49" s="19"/>
      <c r="H49" s="21"/>
      <c r="I49" s="21">
        <v>1000</v>
      </c>
      <c r="J49" s="21"/>
      <c r="K49" s="21">
        <v>3000</v>
      </c>
      <c r="L49" s="21"/>
      <c r="M49" s="21">
        <v>2250</v>
      </c>
      <c r="N49" s="21"/>
      <c r="O49" s="21">
        <v>1250</v>
      </c>
      <c r="P49" s="21"/>
      <c r="Q49" s="21">
        <v>4050</v>
      </c>
      <c r="R49" s="21"/>
      <c r="S49" s="22">
        <v>2250</v>
      </c>
      <c r="T49" s="22"/>
      <c r="U49" s="22"/>
      <c r="V49" s="22"/>
      <c r="W49" s="22">
        <v>-500</v>
      </c>
      <c r="X49" s="22"/>
      <c r="Y49" s="26">
        <v>2300</v>
      </c>
      <c r="AA49" s="26">
        <v>1500</v>
      </c>
      <c r="AC49" s="21">
        <f t="shared" ref="AC49:AC59" si="62">AVERAGE(K49:S49)</f>
        <v>2560</v>
      </c>
      <c r="AD49" s="21">
        <f t="shared" ref="AD49:AD59" si="63">MAX(K49:S49)</f>
        <v>4050</v>
      </c>
      <c r="AE49" s="21">
        <f t="shared" ref="AE49:AE59" si="64">MIN(K49:S49)</f>
        <v>1250</v>
      </c>
      <c r="AG49" s="21">
        <f t="shared" ref="AG49:AG59" si="65">+W49-AC49</f>
        <v>-3060</v>
      </c>
      <c r="AH49" s="21">
        <f t="shared" ref="AH49:AH59" si="66">+W49-AD49</f>
        <v>-4550</v>
      </c>
      <c r="AI49" s="21">
        <f t="shared" ref="AI49:AI59" si="67">+W49-AE49</f>
        <v>-1750</v>
      </c>
      <c r="AK49" s="21">
        <f t="shared" ref="AK49:AK59" si="68">+Y49-AC49</f>
        <v>-260</v>
      </c>
      <c r="AL49" s="21">
        <f t="shared" ref="AL49:AL59" si="69">+Y49-AD49</f>
        <v>-1750</v>
      </c>
      <c r="AM49" s="21">
        <f t="shared" ref="AM49:AM59" si="70">+Y49-AE49</f>
        <v>1050</v>
      </c>
    </row>
    <row r="50" spans="1:39" s="25" customFormat="1" x14ac:dyDescent="0.2">
      <c r="A50" s="19"/>
      <c r="B50" s="19"/>
      <c r="C50" s="19"/>
      <c r="D50" s="19"/>
      <c r="E50" s="19"/>
      <c r="F50" s="19" t="s">
        <v>67</v>
      </c>
      <c r="G50" s="19"/>
      <c r="H50" s="21"/>
      <c r="I50" s="21">
        <v>4034</v>
      </c>
      <c r="J50" s="21"/>
      <c r="K50" s="21">
        <v>262</v>
      </c>
      <c r="L50" s="21"/>
      <c r="M50" s="21">
        <v>35405</v>
      </c>
      <c r="N50" s="21"/>
      <c r="O50" s="21">
        <v>3448.77</v>
      </c>
      <c r="P50" s="21"/>
      <c r="Q50" s="21">
        <v>443.8</v>
      </c>
      <c r="R50" s="21"/>
      <c r="S50" s="22">
        <v>180876.23</v>
      </c>
      <c r="T50" s="22"/>
      <c r="U50" s="22"/>
      <c r="V50" s="22"/>
      <c r="W50" s="22">
        <v>2300</v>
      </c>
      <c r="X50" s="22"/>
      <c r="Y50" s="26">
        <v>18500</v>
      </c>
      <c r="AA50" s="26"/>
      <c r="AC50" s="21">
        <f t="shared" si="62"/>
        <v>44087.16</v>
      </c>
      <c r="AD50" s="21">
        <f t="shared" si="63"/>
        <v>180876.23</v>
      </c>
      <c r="AE50" s="21">
        <f t="shared" si="64"/>
        <v>262</v>
      </c>
      <c r="AG50" s="21">
        <f t="shared" si="65"/>
        <v>-41787.160000000003</v>
      </c>
      <c r="AH50" s="21">
        <f t="shared" si="66"/>
        <v>-178576.23</v>
      </c>
      <c r="AI50" s="21">
        <f t="shared" si="67"/>
        <v>2038</v>
      </c>
      <c r="AK50" s="21">
        <f t="shared" si="68"/>
        <v>-25587.160000000003</v>
      </c>
      <c r="AL50" s="21">
        <f t="shared" si="69"/>
        <v>-162376.23000000001</v>
      </c>
      <c r="AM50" s="21">
        <f t="shared" si="70"/>
        <v>18238</v>
      </c>
    </row>
    <row r="51" spans="1:39" s="25" customFormat="1" x14ac:dyDescent="0.2">
      <c r="A51" s="19"/>
      <c r="B51" s="19"/>
      <c r="C51" s="19"/>
      <c r="D51" s="19"/>
      <c r="E51" s="19"/>
      <c r="F51" s="19" t="s">
        <v>68</v>
      </c>
      <c r="G51" s="19"/>
      <c r="H51" s="21"/>
      <c r="I51" s="21">
        <v>298</v>
      </c>
      <c r="J51" s="21"/>
      <c r="K51" s="21">
        <v>892</v>
      </c>
      <c r="L51" s="21"/>
      <c r="M51" s="21">
        <v>851</v>
      </c>
      <c r="N51" s="21"/>
      <c r="O51" s="21">
        <v>1012.42</v>
      </c>
      <c r="P51" s="21"/>
      <c r="Q51" s="21">
        <v>18109.07</v>
      </c>
      <c r="R51" s="21"/>
      <c r="S51" s="26">
        <v>48299.64</v>
      </c>
      <c r="T51" s="22"/>
      <c r="U51" s="22"/>
      <c r="V51" s="22"/>
      <c r="W51" s="26">
        <v>1766.85</v>
      </c>
      <c r="X51" s="22"/>
      <c r="Y51" s="26">
        <v>10000</v>
      </c>
      <c r="AA51" s="26">
        <v>2000</v>
      </c>
      <c r="AC51" s="21">
        <f t="shared" si="62"/>
        <v>13832.826000000001</v>
      </c>
      <c r="AD51" s="21">
        <f t="shared" si="63"/>
        <v>48299.64</v>
      </c>
      <c r="AE51" s="21">
        <f t="shared" si="64"/>
        <v>851</v>
      </c>
      <c r="AG51" s="21">
        <f t="shared" si="65"/>
        <v>-12065.976000000001</v>
      </c>
      <c r="AH51" s="21">
        <f t="shared" si="66"/>
        <v>-46532.79</v>
      </c>
      <c r="AI51" s="21">
        <f t="shared" si="67"/>
        <v>915.84999999999991</v>
      </c>
      <c r="AK51" s="21">
        <f t="shared" si="68"/>
        <v>-3832.8260000000009</v>
      </c>
      <c r="AL51" s="21">
        <f t="shared" si="69"/>
        <v>-38299.64</v>
      </c>
      <c r="AM51" s="21">
        <f t="shared" si="70"/>
        <v>9149</v>
      </c>
    </row>
    <row r="52" spans="1:39" s="25" customFormat="1" x14ac:dyDescent="0.2">
      <c r="A52" s="19"/>
      <c r="B52" s="19"/>
      <c r="C52" s="19"/>
      <c r="D52" s="19"/>
      <c r="E52" s="19"/>
      <c r="F52" s="19" t="s">
        <v>69</v>
      </c>
      <c r="G52" s="19"/>
      <c r="H52" s="21"/>
      <c r="I52" s="21">
        <v>21</v>
      </c>
      <c r="J52" s="21"/>
      <c r="K52" s="21">
        <v>82</v>
      </c>
      <c r="L52" s="21"/>
      <c r="M52" s="21">
        <v>133</v>
      </c>
      <c r="N52" s="21"/>
      <c r="O52" s="21">
        <v>59</v>
      </c>
      <c r="P52" s="21"/>
      <c r="Q52" s="21">
        <v>0</v>
      </c>
      <c r="R52" s="21"/>
      <c r="S52" s="22">
        <v>0</v>
      </c>
      <c r="T52" s="22"/>
      <c r="U52" s="22"/>
      <c r="V52" s="22"/>
      <c r="W52" s="22">
        <v>0</v>
      </c>
      <c r="X52" s="22"/>
      <c r="Y52" s="26">
        <v>0</v>
      </c>
      <c r="AA52" s="26">
        <v>0</v>
      </c>
      <c r="AC52" s="21">
        <f t="shared" si="62"/>
        <v>54.8</v>
      </c>
      <c r="AD52" s="21">
        <f t="shared" si="63"/>
        <v>133</v>
      </c>
      <c r="AE52" s="21">
        <f t="shared" si="64"/>
        <v>0</v>
      </c>
      <c r="AG52" s="21">
        <f t="shared" si="65"/>
        <v>-54.8</v>
      </c>
      <c r="AH52" s="21">
        <f t="shared" si="66"/>
        <v>-133</v>
      </c>
      <c r="AI52" s="21">
        <f t="shared" si="67"/>
        <v>0</v>
      </c>
      <c r="AK52" s="21">
        <f t="shared" si="68"/>
        <v>-54.8</v>
      </c>
      <c r="AL52" s="21">
        <f t="shared" si="69"/>
        <v>-133</v>
      </c>
      <c r="AM52" s="21">
        <f t="shared" si="70"/>
        <v>0</v>
      </c>
    </row>
    <row r="53" spans="1:39" s="25" customFormat="1" x14ac:dyDescent="0.2">
      <c r="A53" s="19"/>
      <c r="B53" s="19"/>
      <c r="C53" s="19"/>
      <c r="D53" s="19"/>
      <c r="E53" s="19"/>
      <c r="F53" s="19" t="s">
        <v>70</v>
      </c>
      <c r="G53" s="19"/>
      <c r="H53" s="21"/>
      <c r="I53" s="21"/>
      <c r="J53" s="21"/>
      <c r="K53" s="21"/>
      <c r="L53" s="21"/>
      <c r="M53" s="21"/>
      <c r="N53" s="21"/>
      <c r="O53" s="21"/>
      <c r="P53" s="21"/>
      <c r="Q53" s="21">
        <v>57.62</v>
      </c>
      <c r="R53" s="21"/>
      <c r="S53" s="22">
        <v>150</v>
      </c>
      <c r="T53" s="22"/>
      <c r="U53" s="22"/>
      <c r="V53" s="22"/>
      <c r="W53" s="22">
        <v>4000.4</v>
      </c>
      <c r="X53" s="22"/>
      <c r="Y53" s="26">
        <v>0</v>
      </c>
      <c r="AA53" s="26"/>
      <c r="AC53" s="21">
        <f t="shared" si="62"/>
        <v>103.81</v>
      </c>
      <c r="AD53" s="21">
        <f t="shared" si="63"/>
        <v>150</v>
      </c>
      <c r="AE53" s="21">
        <f t="shared" si="64"/>
        <v>57.62</v>
      </c>
      <c r="AG53" s="21">
        <f t="shared" si="65"/>
        <v>3896.59</v>
      </c>
      <c r="AH53" s="21">
        <f t="shared" si="66"/>
        <v>3850.4</v>
      </c>
      <c r="AI53" s="21">
        <f t="shared" si="67"/>
        <v>3942.78</v>
      </c>
      <c r="AK53" s="21">
        <f t="shared" si="68"/>
        <v>-103.81</v>
      </c>
      <c r="AL53" s="21">
        <f t="shared" si="69"/>
        <v>-150</v>
      </c>
      <c r="AM53" s="21">
        <f t="shared" si="70"/>
        <v>-57.62</v>
      </c>
    </row>
    <row r="54" spans="1:39" s="25" customFormat="1" x14ac:dyDescent="0.2">
      <c r="A54" s="19"/>
      <c r="B54" s="19"/>
      <c r="C54" s="19"/>
      <c r="D54" s="19"/>
      <c r="E54" s="19"/>
      <c r="F54" s="19" t="s">
        <v>71</v>
      </c>
      <c r="G54" s="19"/>
      <c r="H54" s="21"/>
      <c r="I54" s="21">
        <v>3469</v>
      </c>
      <c r="J54" s="21"/>
      <c r="K54" s="21">
        <v>3440</v>
      </c>
      <c r="L54" s="21"/>
      <c r="M54" s="21"/>
      <c r="N54" s="21"/>
      <c r="O54" s="21"/>
      <c r="P54" s="21"/>
      <c r="Q54" s="21">
        <v>43355</v>
      </c>
      <c r="R54" s="21"/>
      <c r="S54" s="22">
        <v>1500</v>
      </c>
      <c r="T54" s="22"/>
      <c r="U54" s="22"/>
      <c r="V54" s="22"/>
      <c r="W54" s="22">
        <v>250</v>
      </c>
      <c r="X54" s="22"/>
      <c r="Y54" s="26">
        <v>1500</v>
      </c>
      <c r="AA54" s="26">
        <v>0</v>
      </c>
      <c r="AC54" s="21">
        <f t="shared" si="62"/>
        <v>16098.333333333334</v>
      </c>
      <c r="AD54" s="21">
        <f t="shared" si="63"/>
        <v>43355</v>
      </c>
      <c r="AE54" s="21">
        <f t="shared" si="64"/>
        <v>1500</v>
      </c>
      <c r="AG54" s="21">
        <f t="shared" si="65"/>
        <v>-15848.333333333334</v>
      </c>
      <c r="AH54" s="21">
        <f t="shared" si="66"/>
        <v>-43105</v>
      </c>
      <c r="AI54" s="21">
        <f t="shared" si="67"/>
        <v>-1250</v>
      </c>
      <c r="AK54" s="21">
        <f t="shared" si="68"/>
        <v>-14598.333333333334</v>
      </c>
      <c r="AL54" s="21">
        <f t="shared" si="69"/>
        <v>-41855</v>
      </c>
      <c r="AM54" s="21">
        <f t="shared" si="70"/>
        <v>0</v>
      </c>
    </row>
    <row r="55" spans="1:39" s="25" customFormat="1" x14ac:dyDescent="0.2">
      <c r="A55" s="19"/>
      <c r="B55" s="19"/>
      <c r="C55" s="19"/>
      <c r="D55" s="19"/>
      <c r="E55" s="19"/>
      <c r="F55" s="19" t="s">
        <v>72</v>
      </c>
      <c r="G55" s="19"/>
      <c r="H55" s="21"/>
      <c r="I55" s="21">
        <v>1156</v>
      </c>
      <c r="J55" s="21"/>
      <c r="K55" s="21">
        <v>1316</v>
      </c>
      <c r="L55" s="21"/>
      <c r="M55" s="21">
        <v>460</v>
      </c>
      <c r="N55" s="21"/>
      <c r="O55" s="21">
        <v>910</v>
      </c>
      <c r="P55" s="21"/>
      <c r="Q55" s="21">
        <v>875</v>
      </c>
      <c r="R55" s="21"/>
      <c r="S55" s="22">
        <v>750</v>
      </c>
      <c r="T55" s="22"/>
      <c r="U55" s="22"/>
      <c r="V55" s="22"/>
      <c r="W55" s="22">
        <v>625</v>
      </c>
      <c r="X55" s="22"/>
      <c r="Y55" s="26">
        <v>800</v>
      </c>
      <c r="AA55" s="26">
        <v>800</v>
      </c>
      <c r="AC55" s="21">
        <f t="shared" si="62"/>
        <v>862.2</v>
      </c>
      <c r="AD55" s="21">
        <f t="shared" si="63"/>
        <v>1316</v>
      </c>
      <c r="AE55" s="21">
        <f t="shared" si="64"/>
        <v>460</v>
      </c>
      <c r="AG55" s="21">
        <f t="shared" si="65"/>
        <v>-237.20000000000005</v>
      </c>
      <c r="AH55" s="21">
        <f t="shared" si="66"/>
        <v>-691</v>
      </c>
      <c r="AI55" s="21">
        <f t="shared" si="67"/>
        <v>165</v>
      </c>
      <c r="AK55" s="21">
        <f t="shared" si="68"/>
        <v>-62.200000000000045</v>
      </c>
      <c r="AL55" s="21">
        <f t="shared" si="69"/>
        <v>-516</v>
      </c>
      <c r="AM55" s="21">
        <f t="shared" si="70"/>
        <v>340</v>
      </c>
    </row>
    <row r="56" spans="1:39" s="25" customFormat="1" x14ac:dyDescent="0.2">
      <c r="A56" s="19"/>
      <c r="B56" s="19"/>
      <c r="C56" s="19"/>
      <c r="D56" s="19"/>
      <c r="E56" s="19"/>
      <c r="F56" s="19" t="s">
        <v>73</v>
      </c>
      <c r="G56" s="19"/>
      <c r="H56" s="21"/>
      <c r="I56" s="21">
        <v>42278</v>
      </c>
      <c r="J56" s="21"/>
      <c r="K56" s="21">
        <v>39356</v>
      </c>
      <c r="L56" s="21"/>
      <c r="M56" s="21">
        <v>30475</v>
      </c>
      <c r="N56" s="21"/>
      <c r="O56" s="21">
        <v>30715</v>
      </c>
      <c r="P56" s="21"/>
      <c r="Q56" s="21">
        <v>34924.5</v>
      </c>
      <c r="R56" s="21"/>
      <c r="S56" s="22">
        <v>39210</v>
      </c>
      <c r="T56" s="22"/>
      <c r="U56" s="22"/>
      <c r="V56" s="22"/>
      <c r="W56" s="22">
        <v>29460</v>
      </c>
      <c r="X56" s="22"/>
      <c r="Y56" s="26">
        <v>35500</v>
      </c>
      <c r="AA56" s="26">
        <v>30000</v>
      </c>
      <c r="AC56" s="21">
        <f t="shared" si="62"/>
        <v>34936.1</v>
      </c>
      <c r="AD56" s="21">
        <f t="shared" si="63"/>
        <v>39356</v>
      </c>
      <c r="AE56" s="21">
        <f t="shared" si="64"/>
        <v>30475</v>
      </c>
      <c r="AG56" s="21">
        <f t="shared" si="65"/>
        <v>-5476.0999999999985</v>
      </c>
      <c r="AH56" s="21">
        <f t="shared" si="66"/>
        <v>-9896</v>
      </c>
      <c r="AI56" s="21">
        <f t="shared" si="67"/>
        <v>-1015</v>
      </c>
      <c r="AK56" s="21">
        <f t="shared" si="68"/>
        <v>563.90000000000146</v>
      </c>
      <c r="AL56" s="21">
        <f t="shared" si="69"/>
        <v>-3856</v>
      </c>
      <c r="AM56" s="21">
        <f t="shared" si="70"/>
        <v>5025</v>
      </c>
    </row>
    <row r="57" spans="1:39" s="25" customFormat="1" x14ac:dyDescent="0.2">
      <c r="A57" s="19"/>
      <c r="B57" s="19"/>
      <c r="C57" s="19"/>
      <c r="D57" s="19"/>
      <c r="E57" s="19"/>
      <c r="F57" s="19" t="s">
        <v>74</v>
      </c>
      <c r="G57" s="19"/>
      <c r="H57" s="21"/>
      <c r="I57" s="21">
        <v>33884</v>
      </c>
      <c r="J57" s="21"/>
      <c r="K57" s="21">
        <v>35374</v>
      </c>
      <c r="L57" s="21"/>
      <c r="M57" s="21">
        <v>35660</v>
      </c>
      <c r="N57" s="21"/>
      <c r="O57" s="21">
        <v>37214.28</v>
      </c>
      <c r="P57" s="21"/>
      <c r="Q57" s="21">
        <v>40694.1</v>
      </c>
      <c r="R57" s="21"/>
      <c r="S57" s="22">
        <v>42064</v>
      </c>
      <c r="T57" s="22"/>
      <c r="U57" s="22"/>
      <c r="V57" s="22"/>
      <c r="W57" s="22">
        <v>21107.3</v>
      </c>
      <c r="X57" s="22"/>
      <c r="Y57" s="26">
        <v>40000</v>
      </c>
      <c r="AA57" s="26">
        <v>40000</v>
      </c>
      <c r="AC57" s="21">
        <f t="shared" si="62"/>
        <v>38201.275999999998</v>
      </c>
      <c r="AD57" s="21">
        <f t="shared" si="63"/>
        <v>42064</v>
      </c>
      <c r="AE57" s="21">
        <f t="shared" si="64"/>
        <v>35374</v>
      </c>
      <c r="AG57" s="21">
        <f t="shared" si="65"/>
        <v>-17093.975999999999</v>
      </c>
      <c r="AH57" s="21">
        <f t="shared" si="66"/>
        <v>-20956.7</v>
      </c>
      <c r="AI57" s="21">
        <f t="shared" si="67"/>
        <v>-14266.7</v>
      </c>
      <c r="AK57" s="21">
        <f t="shared" si="68"/>
        <v>1798.724000000002</v>
      </c>
      <c r="AL57" s="21">
        <f t="shared" si="69"/>
        <v>-2064</v>
      </c>
      <c r="AM57" s="21">
        <f t="shared" si="70"/>
        <v>4626</v>
      </c>
    </row>
    <row r="58" spans="1:39" s="25" customFormat="1" x14ac:dyDescent="0.2">
      <c r="A58" s="19"/>
      <c r="B58" s="19"/>
      <c r="C58" s="19"/>
      <c r="D58" s="19"/>
      <c r="E58" s="19"/>
      <c r="F58" s="19" t="s">
        <v>75</v>
      </c>
      <c r="G58" s="19"/>
      <c r="H58" s="21"/>
      <c r="I58" s="21">
        <f>60043+100</f>
        <v>60143</v>
      </c>
      <c r="J58" s="21"/>
      <c r="K58" s="21">
        <v>557</v>
      </c>
      <c r="L58" s="21"/>
      <c r="M58" s="21">
        <v>4558</v>
      </c>
      <c r="N58" s="21"/>
      <c r="O58" s="21">
        <v>20347.87</v>
      </c>
      <c r="P58" s="21"/>
      <c r="Q58" s="21">
        <v>17757.97</v>
      </c>
      <c r="R58" s="21"/>
      <c r="S58" s="22">
        <v>15456.35</v>
      </c>
      <c r="T58" s="22"/>
      <c r="U58" s="22"/>
      <c r="V58" s="22"/>
      <c r="W58" s="22">
        <v>2746.73</v>
      </c>
      <c r="X58" s="22"/>
      <c r="Y58" s="26">
        <v>7500</v>
      </c>
      <c r="AA58" s="26">
        <v>2500</v>
      </c>
      <c r="AC58" s="21">
        <f t="shared" si="62"/>
        <v>11735.437999999998</v>
      </c>
      <c r="AD58" s="21">
        <f t="shared" si="63"/>
        <v>20347.87</v>
      </c>
      <c r="AE58" s="21">
        <f t="shared" si="64"/>
        <v>557</v>
      </c>
      <c r="AG58" s="21">
        <f t="shared" si="65"/>
        <v>-8988.7079999999987</v>
      </c>
      <c r="AH58" s="21">
        <f t="shared" si="66"/>
        <v>-17601.14</v>
      </c>
      <c r="AI58" s="21">
        <f t="shared" si="67"/>
        <v>2189.73</v>
      </c>
      <c r="AK58" s="21">
        <f t="shared" si="68"/>
        <v>-4235.4379999999983</v>
      </c>
      <c r="AL58" s="21">
        <f t="shared" si="69"/>
        <v>-12847.869999999999</v>
      </c>
      <c r="AM58" s="21">
        <f t="shared" si="70"/>
        <v>6943</v>
      </c>
    </row>
    <row r="59" spans="1:39" s="25" customFormat="1" ht="12" thickBot="1" x14ac:dyDescent="0.25">
      <c r="A59" s="19"/>
      <c r="B59" s="19"/>
      <c r="C59" s="19"/>
      <c r="D59" s="19"/>
      <c r="E59" s="19"/>
      <c r="F59" s="19" t="s">
        <v>76</v>
      </c>
      <c r="G59" s="19"/>
      <c r="H59" s="21"/>
      <c r="I59" s="33"/>
      <c r="J59" s="21"/>
      <c r="K59" s="33"/>
      <c r="L59" s="21"/>
      <c r="M59" s="33"/>
      <c r="N59" s="21"/>
      <c r="O59" s="33"/>
      <c r="P59" s="33"/>
      <c r="Q59" s="33">
        <v>0</v>
      </c>
      <c r="R59" s="33"/>
      <c r="S59" s="35">
        <v>13000</v>
      </c>
      <c r="T59" s="28"/>
      <c r="U59" s="28"/>
      <c r="V59" s="22"/>
      <c r="W59" s="35">
        <v>0</v>
      </c>
      <c r="X59" s="22"/>
      <c r="Y59" s="35">
        <v>0</v>
      </c>
      <c r="AA59" s="35">
        <v>0</v>
      </c>
      <c r="AC59" s="33">
        <f t="shared" si="62"/>
        <v>6500</v>
      </c>
      <c r="AD59" s="33">
        <f t="shared" si="63"/>
        <v>13000</v>
      </c>
      <c r="AE59" s="33">
        <f t="shared" si="64"/>
        <v>0</v>
      </c>
      <c r="AG59" s="33">
        <f t="shared" si="65"/>
        <v>-6500</v>
      </c>
      <c r="AH59" s="33">
        <f t="shared" si="66"/>
        <v>-13000</v>
      </c>
      <c r="AI59" s="33">
        <f t="shared" si="67"/>
        <v>0</v>
      </c>
      <c r="AK59" s="33">
        <f t="shared" si="68"/>
        <v>-6500</v>
      </c>
      <c r="AL59" s="33">
        <f t="shared" si="69"/>
        <v>-13000</v>
      </c>
      <c r="AM59" s="33">
        <f t="shared" si="70"/>
        <v>0</v>
      </c>
    </row>
    <row r="60" spans="1:39" s="25" customFormat="1" x14ac:dyDescent="0.2">
      <c r="A60" s="19"/>
      <c r="B60" s="19"/>
      <c r="C60" s="19"/>
      <c r="D60" s="19"/>
      <c r="E60" s="19" t="s">
        <v>77</v>
      </c>
      <c r="F60" s="19"/>
      <c r="G60" s="19"/>
      <c r="H60" s="21"/>
      <c r="I60" s="21">
        <f>ROUND(SUM(I48:I59),5)</f>
        <v>146283</v>
      </c>
      <c r="J60" s="21"/>
      <c r="K60" s="21">
        <f>ROUND(SUM(K48:K59),5)</f>
        <v>84279</v>
      </c>
      <c r="L60" s="21"/>
      <c r="M60" s="21">
        <f>ROUND(SUM(M48:M59),5)</f>
        <v>109792</v>
      </c>
      <c r="N60" s="21"/>
      <c r="O60" s="21">
        <f>ROUND(SUM(O48:O59),5)</f>
        <v>94957.34</v>
      </c>
      <c r="P60" s="21"/>
      <c r="Q60" s="21">
        <f>ROUND(SUM(Q48:Q59),5)</f>
        <v>160267.06</v>
      </c>
      <c r="R60" s="21"/>
      <c r="S60" s="22">
        <f>ROUND(SUM(S48:S59),5)</f>
        <v>343556.22</v>
      </c>
      <c r="T60" s="22"/>
      <c r="U60" s="22"/>
      <c r="V60" s="22"/>
      <c r="W60" s="22">
        <f>ROUND(SUM(W48:W59),5)</f>
        <v>61756.28</v>
      </c>
      <c r="X60" s="22"/>
      <c r="Y60" s="26">
        <f>ROUND(SUM(Y48:Y59),5)</f>
        <v>116100</v>
      </c>
      <c r="AA60" s="26">
        <f>ROUND(SUM(AA48:AA59),5)</f>
        <v>76800</v>
      </c>
      <c r="AC60" s="21">
        <f t="shared" ref="AC60:AE60" si="71">ROUND(SUM(AC58:AC59),5)</f>
        <v>18235.437999999998</v>
      </c>
      <c r="AD60" s="21">
        <f t="shared" si="71"/>
        <v>33347.870000000003</v>
      </c>
      <c r="AE60" s="21">
        <f t="shared" si="71"/>
        <v>557</v>
      </c>
      <c r="AG60" s="21">
        <f t="shared" ref="AG60:AI60" si="72">ROUND(SUM(AG58:AG59),5)</f>
        <v>-15488.708000000001</v>
      </c>
      <c r="AH60" s="21">
        <f t="shared" si="72"/>
        <v>-30601.14</v>
      </c>
      <c r="AI60" s="21">
        <f t="shared" si="72"/>
        <v>2189.73</v>
      </c>
      <c r="AK60" s="21"/>
      <c r="AL60" s="21"/>
      <c r="AM60" s="21"/>
    </row>
    <row r="61" spans="1:39" s="25" customFormat="1" x14ac:dyDescent="0.2">
      <c r="A61" s="19"/>
      <c r="B61" s="19"/>
      <c r="C61" s="19"/>
      <c r="D61" s="19"/>
      <c r="E61" s="19" t="s">
        <v>78</v>
      </c>
      <c r="F61" s="19"/>
      <c r="G61" s="19"/>
      <c r="H61" s="21"/>
      <c r="I61" s="21"/>
      <c r="J61" s="21"/>
      <c r="K61" s="21"/>
      <c r="L61" s="21"/>
      <c r="M61" s="21"/>
      <c r="N61" s="21"/>
      <c r="O61" s="21"/>
      <c r="P61" s="21"/>
      <c r="Q61" s="21"/>
      <c r="R61" s="21"/>
      <c r="S61" s="22"/>
      <c r="T61" s="22"/>
      <c r="U61" s="22"/>
      <c r="V61" s="22"/>
      <c r="W61" s="22"/>
      <c r="X61" s="22"/>
      <c r="Y61" s="26"/>
      <c r="AA61" s="26"/>
      <c r="AC61" s="21"/>
      <c r="AD61" s="21"/>
      <c r="AE61" s="21"/>
      <c r="AG61" s="21"/>
      <c r="AH61" s="21"/>
      <c r="AI61" s="21"/>
      <c r="AK61" s="21"/>
      <c r="AL61" s="21"/>
      <c r="AM61" s="21"/>
    </row>
    <row r="62" spans="1:39" s="25" customFormat="1" x14ac:dyDescent="0.2">
      <c r="A62" s="19"/>
      <c r="B62" s="19"/>
      <c r="C62" s="19"/>
      <c r="D62" s="19"/>
      <c r="E62" s="19"/>
      <c r="F62" s="19" t="s">
        <v>79</v>
      </c>
      <c r="G62" s="19"/>
      <c r="H62" s="21"/>
      <c r="I62" s="21">
        <v>8538</v>
      </c>
      <c r="J62" s="21"/>
      <c r="K62" s="21">
        <v>877</v>
      </c>
      <c r="L62" s="21"/>
      <c r="M62" s="21">
        <v>2610</v>
      </c>
      <c r="N62" s="21"/>
      <c r="O62" s="21">
        <v>6411.49</v>
      </c>
      <c r="P62" s="21"/>
      <c r="Q62" s="21">
        <v>0</v>
      </c>
      <c r="R62" s="21"/>
      <c r="S62" s="26">
        <v>0</v>
      </c>
      <c r="T62" s="22"/>
      <c r="U62" s="22"/>
      <c r="V62" s="22"/>
      <c r="W62" s="26">
        <v>2430.85</v>
      </c>
      <c r="X62" s="22"/>
      <c r="Y62" s="26">
        <v>0</v>
      </c>
      <c r="AA62" s="26">
        <v>0</v>
      </c>
      <c r="AC62" s="21">
        <f t="shared" ref="AC62:AC63" si="73">AVERAGE(K62:S62)</f>
        <v>1979.6979999999999</v>
      </c>
      <c r="AD62" s="21">
        <f>MAX(K62:S62)</f>
        <v>6411.49</v>
      </c>
      <c r="AE62" s="21">
        <f>MIN(K62:S62)</f>
        <v>0</v>
      </c>
      <c r="AG62" s="21">
        <f t="shared" ref="AG62:AG63" si="74">+W62-AC62</f>
        <v>451.15200000000004</v>
      </c>
      <c r="AH62" s="21">
        <f t="shared" ref="AH62:AH63" si="75">+W62-AD62</f>
        <v>-3980.64</v>
      </c>
      <c r="AI62" s="21">
        <f t="shared" ref="AI62:AI63" si="76">+W62-AE62</f>
        <v>2430.85</v>
      </c>
      <c r="AK62" s="21">
        <f t="shared" ref="AK62:AK63" si="77">+Y62-AC62</f>
        <v>-1979.6979999999999</v>
      </c>
      <c r="AL62" s="21">
        <f t="shared" ref="AL62:AL63" si="78">+Y62-AD62</f>
        <v>-6411.49</v>
      </c>
      <c r="AM62" s="21">
        <f t="shared" ref="AM62:AM63" si="79">+Y62-AE62</f>
        <v>0</v>
      </c>
    </row>
    <row r="63" spans="1:39" s="25" customFormat="1" ht="12" thickBot="1" x14ac:dyDescent="0.25">
      <c r="A63" s="19"/>
      <c r="B63" s="19"/>
      <c r="C63" s="19"/>
      <c r="D63" s="19"/>
      <c r="E63" s="19"/>
      <c r="F63" s="19" t="s">
        <v>80</v>
      </c>
      <c r="G63" s="19"/>
      <c r="H63" s="21"/>
      <c r="I63" s="33">
        <v>124</v>
      </c>
      <c r="J63" s="21"/>
      <c r="K63" s="33">
        <v>-332</v>
      </c>
      <c r="L63" s="21"/>
      <c r="M63" s="33">
        <v>-1418</v>
      </c>
      <c r="N63" s="21"/>
      <c r="O63" s="33">
        <v>360.22</v>
      </c>
      <c r="P63" s="33"/>
      <c r="Q63" s="33">
        <v>1075.6500000000001</v>
      </c>
      <c r="R63" s="33"/>
      <c r="S63" s="35">
        <v>-981.45</v>
      </c>
      <c r="T63" s="28"/>
      <c r="U63" s="28"/>
      <c r="V63" s="22"/>
      <c r="W63" s="35">
        <v>-1612.97</v>
      </c>
      <c r="X63" s="22"/>
      <c r="Y63" s="35">
        <v>0</v>
      </c>
      <c r="AA63" s="35">
        <v>0</v>
      </c>
      <c r="AC63" s="33">
        <f t="shared" si="73"/>
        <v>-259.11599999999999</v>
      </c>
      <c r="AD63" s="33">
        <f>MAX(K63:S63)</f>
        <v>1075.6500000000001</v>
      </c>
      <c r="AE63" s="33">
        <f>MIN(K63:S63)</f>
        <v>-1418</v>
      </c>
      <c r="AG63" s="33">
        <f t="shared" si="74"/>
        <v>-1353.854</v>
      </c>
      <c r="AH63" s="33">
        <f t="shared" si="75"/>
        <v>-2688.62</v>
      </c>
      <c r="AI63" s="33">
        <f t="shared" si="76"/>
        <v>-194.97000000000003</v>
      </c>
      <c r="AK63" s="33">
        <f t="shared" si="77"/>
        <v>259.11599999999999</v>
      </c>
      <c r="AL63" s="33">
        <f t="shared" si="78"/>
        <v>-1075.6500000000001</v>
      </c>
      <c r="AM63" s="33">
        <f t="shared" si="79"/>
        <v>1418</v>
      </c>
    </row>
    <row r="64" spans="1:39" s="25" customFormat="1" x14ac:dyDescent="0.2">
      <c r="A64" s="19"/>
      <c r="B64" s="19"/>
      <c r="C64" s="19"/>
      <c r="D64" s="19"/>
      <c r="E64" s="19" t="s">
        <v>81</v>
      </c>
      <c r="F64" s="19"/>
      <c r="G64" s="19"/>
      <c r="H64" s="21"/>
      <c r="I64" s="21">
        <f>ROUND(SUM(I61:I63),5)</f>
        <v>8662</v>
      </c>
      <c r="J64" s="21"/>
      <c r="K64" s="21">
        <f>ROUND(SUM(K61:K63),5)</f>
        <v>545</v>
      </c>
      <c r="L64" s="21"/>
      <c r="M64" s="21">
        <f>ROUND(SUM(M61:M63),5)</f>
        <v>1192</v>
      </c>
      <c r="N64" s="21"/>
      <c r="O64" s="21">
        <f>ROUND(SUM(O61:O63),5)</f>
        <v>6771.71</v>
      </c>
      <c r="P64" s="21"/>
      <c r="Q64" s="21">
        <f>ROUND(SUM(Q61:Q63),5)</f>
        <v>1075.6500000000001</v>
      </c>
      <c r="R64" s="21"/>
      <c r="S64" s="22">
        <f>ROUND(SUM(S61:S63),5)</f>
        <v>-981.45</v>
      </c>
      <c r="T64" s="22"/>
      <c r="U64" s="22"/>
      <c r="V64" s="22"/>
      <c r="W64" s="22">
        <f>ROUND(SUM(W61:W63),5)</f>
        <v>817.88</v>
      </c>
      <c r="X64" s="22"/>
      <c r="Y64" s="26">
        <f>ROUND(SUM(Y61:Y63),5)</f>
        <v>0</v>
      </c>
      <c r="AA64" s="26">
        <f>ROUND(SUM(AA61:AA63),5)</f>
        <v>0</v>
      </c>
      <c r="AC64" s="21">
        <f>ROUND(SUM(AC61:AC63),5)</f>
        <v>1720.5820000000001</v>
      </c>
      <c r="AD64" s="21">
        <f>ROUND(SUM(AD61:AD63),5)</f>
        <v>7487.14</v>
      </c>
      <c r="AE64" s="21">
        <f>ROUND(SUM(AE61:AE63),5)</f>
        <v>-1418</v>
      </c>
      <c r="AG64" s="21"/>
      <c r="AH64" s="21"/>
      <c r="AI64" s="21"/>
      <c r="AK64" s="21"/>
      <c r="AL64" s="21"/>
      <c r="AM64" s="21"/>
    </row>
    <row r="65" spans="1:39" s="25" customFormat="1" x14ac:dyDescent="0.2">
      <c r="A65" s="19"/>
      <c r="B65" s="19"/>
      <c r="C65" s="19"/>
      <c r="D65" s="19"/>
      <c r="E65" s="19" t="s">
        <v>82</v>
      </c>
      <c r="F65" s="19"/>
      <c r="G65" s="19"/>
      <c r="H65" s="21"/>
      <c r="I65" s="21"/>
      <c r="J65" s="21"/>
      <c r="K65" s="21"/>
      <c r="L65" s="21"/>
      <c r="M65" s="21"/>
      <c r="N65" s="21"/>
      <c r="O65" s="21"/>
      <c r="P65" s="21"/>
      <c r="Q65" s="21"/>
      <c r="R65" s="21"/>
      <c r="S65" s="22"/>
      <c r="T65" s="22"/>
      <c r="U65" s="22"/>
      <c r="V65" s="22"/>
      <c r="W65" s="22"/>
      <c r="X65" s="22"/>
      <c r="Y65" s="26"/>
      <c r="AA65" s="26"/>
      <c r="AC65" s="21"/>
      <c r="AD65" s="21"/>
      <c r="AE65" s="21"/>
      <c r="AG65" s="21"/>
      <c r="AH65" s="21"/>
      <c r="AI65" s="21"/>
      <c r="AK65" s="21"/>
      <c r="AL65" s="21"/>
      <c r="AM65" s="21"/>
    </row>
    <row r="66" spans="1:39" s="25" customFormat="1" x14ac:dyDescent="0.2">
      <c r="A66" s="19"/>
      <c r="B66" s="19"/>
      <c r="C66" s="19"/>
      <c r="D66" s="19"/>
      <c r="E66" s="19"/>
      <c r="F66" s="19" t="s">
        <v>83</v>
      </c>
      <c r="G66" s="19"/>
      <c r="H66" s="21"/>
      <c r="I66" s="21"/>
      <c r="J66" s="21"/>
      <c r="K66" s="21"/>
      <c r="L66" s="21"/>
      <c r="M66" s="21"/>
      <c r="N66" s="21"/>
      <c r="O66" s="21"/>
      <c r="P66" s="21"/>
      <c r="Q66" s="21"/>
      <c r="R66" s="21"/>
      <c r="S66" s="22"/>
      <c r="T66" s="22"/>
      <c r="U66" s="22"/>
      <c r="V66" s="22"/>
      <c r="W66" s="22">
        <v>-28.05</v>
      </c>
      <c r="X66" s="22"/>
      <c r="Y66" s="26"/>
      <c r="AA66" s="26"/>
      <c r="AC66" s="21"/>
      <c r="AD66" s="21"/>
      <c r="AE66" s="21"/>
      <c r="AG66" s="21"/>
      <c r="AH66" s="21"/>
      <c r="AI66" s="21"/>
      <c r="AK66" s="21"/>
      <c r="AL66" s="21"/>
      <c r="AM66" s="21"/>
    </row>
    <row r="67" spans="1:39" s="36" customFormat="1" x14ac:dyDescent="0.2">
      <c r="A67" s="19"/>
      <c r="B67" s="19"/>
      <c r="C67" s="19"/>
      <c r="D67" s="19"/>
      <c r="E67" s="19"/>
      <c r="F67" s="19" t="s">
        <v>84</v>
      </c>
      <c r="G67" s="19"/>
      <c r="H67" s="21"/>
      <c r="I67" s="21"/>
      <c r="J67" s="21"/>
      <c r="K67" s="21"/>
      <c r="L67" s="21"/>
      <c r="M67" s="21"/>
      <c r="N67" s="21"/>
      <c r="O67" s="27">
        <v>10686.42</v>
      </c>
      <c r="P67" s="27"/>
      <c r="Q67" s="21">
        <v>20705.47</v>
      </c>
      <c r="R67" s="21"/>
      <c r="S67" s="28">
        <v>24825.85</v>
      </c>
      <c r="T67" s="28"/>
      <c r="U67" s="28"/>
      <c r="V67" s="28"/>
      <c r="W67" s="28">
        <v>23540.89</v>
      </c>
      <c r="X67" s="28"/>
      <c r="Y67" s="29">
        <v>25000</v>
      </c>
      <c r="AA67" s="29">
        <v>23000</v>
      </c>
      <c r="AC67" s="27">
        <f t="shared" ref="AC67:AC68" si="80">AVERAGE(K67:S67)</f>
        <v>18739.246666666666</v>
      </c>
      <c r="AD67" s="27">
        <f>MAX(K67:S67)</f>
        <v>24825.85</v>
      </c>
      <c r="AE67" s="27">
        <f>MIN(K67:S67)</f>
        <v>10686.42</v>
      </c>
      <c r="AF67" s="25"/>
      <c r="AG67" s="27">
        <f t="shared" ref="AG67:AG68" si="81">+W67-AC67</f>
        <v>4801.6433333333334</v>
      </c>
      <c r="AH67" s="27">
        <f t="shared" ref="AH67:AH68" si="82">+W67-AD67</f>
        <v>-1284.9599999999991</v>
      </c>
      <c r="AI67" s="27">
        <f t="shared" ref="AI67:AI68" si="83">+W67-AE67</f>
        <v>12854.47</v>
      </c>
      <c r="AJ67" s="25"/>
      <c r="AK67" s="27">
        <f t="shared" ref="AK67:AK68" si="84">+Y67-AC67</f>
        <v>6260.753333333334</v>
      </c>
      <c r="AL67" s="27">
        <f t="shared" ref="AL67:AL68" si="85">+Y67-AD67</f>
        <v>174.15000000000146</v>
      </c>
      <c r="AM67" s="27">
        <f t="shared" ref="AM67:AM68" si="86">+Y67-AE67</f>
        <v>14313.58</v>
      </c>
    </row>
    <row r="68" spans="1:39" s="25" customFormat="1" ht="12" thickBot="1" x14ac:dyDescent="0.25">
      <c r="A68" s="19"/>
      <c r="B68" s="19"/>
      <c r="C68" s="19"/>
      <c r="D68" s="19"/>
      <c r="E68" s="19"/>
      <c r="F68" s="19" t="s">
        <v>85</v>
      </c>
      <c r="G68" s="19"/>
      <c r="H68" s="21"/>
      <c r="I68" s="33"/>
      <c r="J68" s="21"/>
      <c r="K68" s="33"/>
      <c r="L68" s="21"/>
      <c r="M68" s="33"/>
      <c r="N68" s="21"/>
      <c r="O68" s="33"/>
      <c r="P68" s="33"/>
      <c r="Q68" s="33">
        <v>29486</v>
      </c>
      <c r="R68" s="33"/>
      <c r="S68" s="35"/>
      <c r="T68" s="28"/>
      <c r="U68" s="28"/>
      <c r="V68" s="22"/>
      <c r="W68" s="35"/>
      <c r="X68" s="22"/>
      <c r="Y68" s="35"/>
      <c r="AA68" s="35"/>
      <c r="AC68" s="33">
        <f t="shared" si="80"/>
        <v>29486</v>
      </c>
      <c r="AD68" s="33">
        <f>MAX(K68:S68)</f>
        <v>29486</v>
      </c>
      <c r="AE68" s="33">
        <f>MIN(K68:S68)</f>
        <v>29486</v>
      </c>
      <c r="AG68" s="33">
        <f t="shared" si="81"/>
        <v>-29486</v>
      </c>
      <c r="AH68" s="33">
        <f t="shared" si="82"/>
        <v>-29486</v>
      </c>
      <c r="AI68" s="33">
        <f t="shared" si="83"/>
        <v>-29486</v>
      </c>
      <c r="AK68" s="33">
        <f t="shared" si="84"/>
        <v>-29486</v>
      </c>
      <c r="AL68" s="33">
        <f t="shared" si="85"/>
        <v>-29486</v>
      </c>
      <c r="AM68" s="33">
        <f t="shared" si="86"/>
        <v>-29486</v>
      </c>
    </row>
    <row r="69" spans="1:39" s="25" customFormat="1" x14ac:dyDescent="0.2">
      <c r="A69" s="19"/>
      <c r="B69" s="19"/>
      <c r="C69" s="19"/>
      <c r="D69" s="19"/>
      <c r="E69" s="19" t="s">
        <v>86</v>
      </c>
      <c r="F69" s="19"/>
      <c r="G69" s="19"/>
      <c r="H69" s="21"/>
      <c r="I69" s="21">
        <f>ROUND(SUM(I65:I68),5)</f>
        <v>0</v>
      </c>
      <c r="J69" s="21"/>
      <c r="K69" s="21">
        <f>ROUND(SUM(K65:K68),5)</f>
        <v>0</v>
      </c>
      <c r="L69" s="21"/>
      <c r="M69" s="21">
        <f>ROUND(SUM(M65:M68),5)</f>
        <v>0</v>
      </c>
      <c r="N69" s="21"/>
      <c r="O69" s="21">
        <f>ROUND(SUM(O65:O68),5)</f>
        <v>10686.42</v>
      </c>
      <c r="P69" s="21"/>
      <c r="Q69" s="21">
        <f>ROUND(SUM(Q65:Q68),5)</f>
        <v>50191.47</v>
      </c>
      <c r="R69" s="21"/>
      <c r="S69" s="22">
        <f>ROUND(SUM(S65:S68),5)</f>
        <v>24825.85</v>
      </c>
      <c r="T69" s="22"/>
      <c r="U69" s="22"/>
      <c r="V69" s="22"/>
      <c r="W69" s="22">
        <f>ROUND(SUM(W65:W68),5)</f>
        <v>23512.84</v>
      </c>
      <c r="X69" s="22"/>
      <c r="Y69" s="26">
        <f>ROUND(SUM(Y65:Y68),5)</f>
        <v>25000</v>
      </c>
      <c r="AA69" s="26">
        <f>ROUND(SUM(AA65:AA68),5)</f>
        <v>23000</v>
      </c>
      <c r="AC69" s="21">
        <f t="shared" ref="AC69:AE69" si="87">ROUND(SUM(AC65:AC68),5)</f>
        <v>48225.24667</v>
      </c>
      <c r="AD69" s="21">
        <f t="shared" si="87"/>
        <v>54311.85</v>
      </c>
      <c r="AE69" s="21">
        <f t="shared" si="87"/>
        <v>40172.42</v>
      </c>
      <c r="AG69" s="21">
        <f t="shared" ref="AG69:AI69" si="88">ROUND(SUM(AG65:AG68),5)</f>
        <v>-24684.356670000001</v>
      </c>
      <c r="AH69" s="21">
        <f t="shared" si="88"/>
        <v>-30770.959999999999</v>
      </c>
      <c r="AI69" s="21">
        <f t="shared" si="88"/>
        <v>-16631.53</v>
      </c>
      <c r="AK69" s="21"/>
      <c r="AL69" s="21"/>
      <c r="AM69" s="21"/>
    </row>
    <row r="70" spans="1:39" s="25" customFormat="1" x14ac:dyDescent="0.2">
      <c r="A70" s="19"/>
      <c r="B70" s="19"/>
      <c r="C70" s="19"/>
      <c r="D70" s="19"/>
      <c r="E70" s="19" t="s">
        <v>87</v>
      </c>
      <c r="F70" s="19"/>
      <c r="G70" s="19"/>
      <c r="H70" s="21"/>
      <c r="I70" s="21"/>
      <c r="J70" s="21"/>
      <c r="K70" s="21"/>
      <c r="L70" s="21"/>
      <c r="M70" s="21"/>
      <c r="N70" s="21"/>
      <c r="O70" s="21"/>
      <c r="P70" s="21"/>
      <c r="Q70" s="21"/>
      <c r="R70" s="21"/>
      <c r="S70" s="22"/>
      <c r="T70" s="22"/>
      <c r="U70" s="22"/>
      <c r="V70" s="22"/>
      <c r="W70" s="22"/>
      <c r="X70" s="22"/>
      <c r="Y70" s="26"/>
      <c r="AA70" s="26"/>
      <c r="AC70" s="21"/>
      <c r="AD70" s="21"/>
      <c r="AE70" s="21"/>
      <c r="AG70" s="21"/>
      <c r="AH70" s="21"/>
      <c r="AI70" s="21"/>
      <c r="AK70" s="21"/>
      <c r="AL70" s="21"/>
      <c r="AM70" s="21"/>
    </row>
    <row r="71" spans="1:39" s="25" customFormat="1" x14ac:dyDescent="0.2">
      <c r="A71" s="19"/>
      <c r="B71" s="19"/>
      <c r="C71" s="19"/>
      <c r="D71" s="19"/>
      <c r="E71" s="19"/>
      <c r="F71" s="24" t="s">
        <v>88</v>
      </c>
      <c r="G71" s="19"/>
      <c r="H71" s="21"/>
      <c r="I71" s="21"/>
      <c r="J71" s="21"/>
      <c r="K71" s="21"/>
      <c r="L71" s="21"/>
      <c r="M71" s="21"/>
      <c r="N71" s="21"/>
      <c r="O71" s="21"/>
      <c r="P71" s="21"/>
      <c r="Q71" s="21">
        <v>3000</v>
      </c>
      <c r="R71" s="21"/>
      <c r="S71" s="22">
        <v>1396</v>
      </c>
      <c r="T71" s="22"/>
      <c r="U71" s="22"/>
      <c r="V71" s="22"/>
      <c r="W71" s="22">
        <v>1750</v>
      </c>
      <c r="X71" s="22"/>
      <c r="Y71" s="26">
        <v>2000</v>
      </c>
      <c r="AA71" s="26">
        <v>2000</v>
      </c>
      <c r="AC71" s="21">
        <f t="shared" ref="AC71:AC76" si="89">AVERAGE(K71:S71)</f>
        <v>2198</v>
      </c>
      <c r="AD71" s="21">
        <f>MAX(K71:S71)</f>
        <v>3000</v>
      </c>
      <c r="AE71" s="21">
        <f>MIN(K71:S71)</f>
        <v>1396</v>
      </c>
      <c r="AG71" s="21">
        <f t="shared" ref="AG71:AG76" si="90">+W71-AC71</f>
        <v>-448</v>
      </c>
      <c r="AH71" s="21">
        <f t="shared" ref="AH71:AH76" si="91">+W71-AD71</f>
        <v>-1250</v>
      </c>
      <c r="AI71" s="21">
        <f t="shared" ref="AI71:AI76" si="92">+W71-AE71</f>
        <v>354</v>
      </c>
      <c r="AK71" s="21">
        <f t="shared" ref="AK71:AK76" si="93">+Y71-AC71</f>
        <v>-198</v>
      </c>
      <c r="AL71" s="21">
        <f t="shared" ref="AL71:AL76" si="94">+Y71-AD71</f>
        <v>-1000</v>
      </c>
      <c r="AM71" s="21">
        <f t="shared" ref="AM71:AM76" si="95">+Y71-AE71</f>
        <v>604</v>
      </c>
    </row>
    <row r="72" spans="1:39" s="25" customFormat="1" x14ac:dyDescent="0.2">
      <c r="A72" s="19"/>
      <c r="B72" s="19"/>
      <c r="C72" s="19"/>
      <c r="D72" s="19"/>
      <c r="E72" s="19"/>
      <c r="F72" s="24" t="s">
        <v>89</v>
      </c>
      <c r="G72" s="19"/>
      <c r="H72" s="21"/>
      <c r="I72" s="21"/>
      <c r="J72" s="21"/>
      <c r="K72" s="21"/>
      <c r="L72" s="21"/>
      <c r="M72" s="21"/>
      <c r="N72" s="21"/>
      <c r="O72" s="21"/>
      <c r="P72" s="21"/>
      <c r="Q72" s="21">
        <v>3980</v>
      </c>
      <c r="R72" s="21"/>
      <c r="S72" s="22">
        <v>4841</v>
      </c>
      <c r="T72" s="22"/>
      <c r="U72" s="22"/>
      <c r="V72" s="22"/>
      <c r="W72" s="22">
        <v>2765</v>
      </c>
      <c r="X72" s="22"/>
      <c r="Y72" s="26">
        <v>3000</v>
      </c>
      <c r="AA72" s="26">
        <v>3000</v>
      </c>
      <c r="AC72" s="21">
        <f t="shared" si="89"/>
        <v>4410.5</v>
      </c>
      <c r="AD72" s="21">
        <f>MAX(K72:S72)</f>
        <v>4841</v>
      </c>
      <c r="AE72" s="21">
        <f>MIN(K72:S72)</f>
        <v>3980</v>
      </c>
      <c r="AG72" s="21">
        <f t="shared" si="90"/>
        <v>-1645.5</v>
      </c>
      <c r="AH72" s="21">
        <f t="shared" si="91"/>
        <v>-2076</v>
      </c>
      <c r="AI72" s="21">
        <f t="shared" si="92"/>
        <v>-1215</v>
      </c>
      <c r="AK72" s="21">
        <f t="shared" si="93"/>
        <v>-1410.5</v>
      </c>
      <c r="AL72" s="21">
        <f t="shared" si="94"/>
        <v>-1841</v>
      </c>
      <c r="AM72" s="21">
        <f t="shared" si="95"/>
        <v>-980</v>
      </c>
    </row>
    <row r="73" spans="1:39" s="25" customFormat="1" x14ac:dyDescent="0.2">
      <c r="A73" s="19"/>
      <c r="B73" s="19"/>
      <c r="C73" s="19"/>
      <c r="D73" s="19"/>
      <c r="E73" s="19"/>
      <c r="F73" s="24" t="s">
        <v>90</v>
      </c>
      <c r="G73" s="19"/>
      <c r="H73" s="21"/>
      <c r="I73" s="21"/>
      <c r="J73" s="21"/>
      <c r="K73" s="21"/>
      <c r="L73" s="21"/>
      <c r="M73" s="21"/>
      <c r="N73" s="21"/>
      <c r="O73" s="21"/>
      <c r="P73" s="21"/>
      <c r="Q73" s="21">
        <v>2207.52</v>
      </c>
      <c r="R73" s="21"/>
      <c r="S73" s="26">
        <v>1785</v>
      </c>
      <c r="T73" s="22"/>
      <c r="U73" s="22"/>
      <c r="V73" s="22"/>
      <c r="W73" s="26">
        <v>3158</v>
      </c>
      <c r="X73" s="22"/>
      <c r="Y73" s="26">
        <v>5000</v>
      </c>
      <c r="AA73" s="26">
        <v>5000</v>
      </c>
      <c r="AC73" s="21">
        <f t="shared" si="89"/>
        <v>1996.26</v>
      </c>
      <c r="AD73" s="21">
        <f>MAX(K73:S73)</f>
        <v>2207.52</v>
      </c>
      <c r="AE73" s="21">
        <f>MIN(K73:S73)</f>
        <v>1785</v>
      </c>
      <c r="AG73" s="21">
        <f t="shared" si="90"/>
        <v>1161.74</v>
      </c>
      <c r="AH73" s="21">
        <f t="shared" si="91"/>
        <v>950.48</v>
      </c>
      <c r="AI73" s="21">
        <f t="shared" si="92"/>
        <v>1373</v>
      </c>
      <c r="AK73" s="21">
        <f t="shared" si="93"/>
        <v>3003.74</v>
      </c>
      <c r="AL73" s="21">
        <f t="shared" si="94"/>
        <v>2792.48</v>
      </c>
      <c r="AM73" s="21">
        <f t="shared" si="95"/>
        <v>3215</v>
      </c>
    </row>
    <row r="74" spans="1:39" s="25" customFormat="1" x14ac:dyDescent="0.2">
      <c r="A74" s="19"/>
      <c r="B74" s="19"/>
      <c r="C74" s="19"/>
      <c r="D74" s="19"/>
      <c r="E74" s="19"/>
      <c r="F74" s="19" t="s">
        <v>91</v>
      </c>
      <c r="G74" s="19"/>
      <c r="H74" s="21"/>
      <c r="I74" s="21"/>
      <c r="J74" s="21"/>
      <c r="K74" s="21"/>
      <c r="L74" s="21"/>
      <c r="M74" s="21"/>
      <c r="N74" s="21"/>
      <c r="O74" s="21"/>
      <c r="P74" s="21"/>
      <c r="Q74" s="21"/>
      <c r="R74" s="21"/>
      <c r="S74" s="26">
        <v>41134.85</v>
      </c>
      <c r="T74" s="22"/>
      <c r="U74" s="22"/>
      <c r="V74" s="22"/>
      <c r="W74" s="26">
        <v>44795</v>
      </c>
      <c r="X74" s="22"/>
      <c r="Y74" s="26">
        <v>0</v>
      </c>
      <c r="AA74" s="26">
        <v>0</v>
      </c>
      <c r="AC74" s="21">
        <f t="shared" si="89"/>
        <v>41134.85</v>
      </c>
      <c r="AD74" s="21"/>
      <c r="AE74" s="21"/>
      <c r="AG74" s="21"/>
      <c r="AH74" s="21"/>
      <c r="AI74" s="21"/>
      <c r="AK74" s="21"/>
      <c r="AL74" s="21"/>
      <c r="AM74" s="21"/>
    </row>
    <row r="75" spans="1:39" s="25" customFormat="1" x14ac:dyDescent="0.2">
      <c r="A75" s="19"/>
      <c r="B75" s="19"/>
      <c r="C75" s="19"/>
      <c r="D75" s="19"/>
      <c r="E75" s="19"/>
      <c r="F75" s="19" t="s">
        <v>92</v>
      </c>
      <c r="G75" s="19"/>
      <c r="H75" s="21"/>
      <c r="I75" s="21"/>
      <c r="J75" s="21"/>
      <c r="K75" s="21"/>
      <c r="L75" s="21"/>
      <c r="M75" s="21"/>
      <c r="N75" s="21"/>
      <c r="O75" s="21"/>
      <c r="P75" s="21"/>
      <c r="Q75" s="21">
        <v>25000</v>
      </c>
      <c r="R75" s="21"/>
      <c r="S75" s="26">
        <v>0</v>
      </c>
      <c r="T75" s="22"/>
      <c r="U75" s="22"/>
      <c r="V75" s="22"/>
      <c r="W75" s="26">
        <v>0</v>
      </c>
      <c r="X75" s="22"/>
      <c r="Y75" s="26">
        <v>0</v>
      </c>
      <c r="AA75" s="26">
        <v>0</v>
      </c>
      <c r="AC75" s="21">
        <f t="shared" si="89"/>
        <v>12500</v>
      </c>
      <c r="AD75" s="21"/>
      <c r="AE75" s="21"/>
      <c r="AG75" s="21"/>
      <c r="AH75" s="21"/>
      <c r="AI75" s="21"/>
      <c r="AK75" s="21"/>
      <c r="AL75" s="21"/>
      <c r="AM75" s="21"/>
    </row>
    <row r="76" spans="1:39" s="25" customFormat="1" ht="12" thickBot="1" x14ac:dyDescent="0.25">
      <c r="A76" s="19"/>
      <c r="B76" s="19"/>
      <c r="C76" s="19"/>
      <c r="D76" s="19"/>
      <c r="E76" s="19"/>
      <c r="F76" s="24" t="s">
        <v>93</v>
      </c>
      <c r="G76" s="19"/>
      <c r="H76" s="21"/>
      <c r="I76" s="33"/>
      <c r="J76" s="21"/>
      <c r="K76" s="33"/>
      <c r="L76" s="21"/>
      <c r="M76" s="33">
        <v>35000</v>
      </c>
      <c r="N76" s="21"/>
      <c r="O76" s="33"/>
      <c r="P76" s="33"/>
      <c r="Q76" s="33">
        <v>33773.42</v>
      </c>
      <c r="R76" s="33"/>
      <c r="S76" s="34">
        <v>0</v>
      </c>
      <c r="T76" s="28"/>
      <c r="U76" s="28"/>
      <c r="V76" s="22"/>
      <c r="W76" s="34">
        <v>0</v>
      </c>
      <c r="X76" s="22"/>
      <c r="Y76" s="35">
        <v>0</v>
      </c>
      <c r="AA76" s="35">
        <v>0</v>
      </c>
      <c r="AC76" s="33">
        <f t="shared" si="89"/>
        <v>22924.473333333332</v>
      </c>
      <c r="AD76" s="33">
        <f>MAX(K76:S76)</f>
        <v>35000</v>
      </c>
      <c r="AE76" s="33">
        <f>MIN(K76:S76)</f>
        <v>0</v>
      </c>
      <c r="AG76" s="33">
        <f t="shared" si="90"/>
        <v>-22924.473333333332</v>
      </c>
      <c r="AH76" s="33">
        <f t="shared" si="91"/>
        <v>-35000</v>
      </c>
      <c r="AI76" s="33">
        <f t="shared" si="92"/>
        <v>0</v>
      </c>
      <c r="AK76" s="33">
        <f t="shared" si="93"/>
        <v>-22924.473333333332</v>
      </c>
      <c r="AL76" s="33">
        <f t="shared" si="94"/>
        <v>-35000</v>
      </c>
      <c r="AM76" s="33">
        <f t="shared" si="95"/>
        <v>0</v>
      </c>
    </row>
    <row r="77" spans="1:39" s="25" customFormat="1" x14ac:dyDescent="0.2">
      <c r="A77" s="19"/>
      <c r="B77" s="19"/>
      <c r="C77" s="19"/>
      <c r="D77" s="19"/>
      <c r="E77" s="19" t="s">
        <v>94</v>
      </c>
      <c r="F77" s="19"/>
      <c r="G77" s="19"/>
      <c r="H77" s="21"/>
      <c r="I77" s="21">
        <f>ROUND(SUM(I70:I76),5)</f>
        <v>0</v>
      </c>
      <c r="J77" s="21"/>
      <c r="K77" s="21">
        <f>ROUND(SUM(K70:K76),5)</f>
        <v>0</v>
      </c>
      <c r="L77" s="21"/>
      <c r="M77" s="21">
        <f>ROUND(SUM(M70:M76),5)</f>
        <v>35000</v>
      </c>
      <c r="N77" s="21"/>
      <c r="O77" s="21">
        <f>ROUND(SUM(O70:O76),5)</f>
        <v>0</v>
      </c>
      <c r="P77" s="21"/>
      <c r="Q77" s="21">
        <f>ROUND(SUM(Q70:Q76),5)</f>
        <v>67960.94</v>
      </c>
      <c r="R77" s="21"/>
      <c r="S77" s="22">
        <f>ROUND(SUM(S70:S76),5)</f>
        <v>49156.85</v>
      </c>
      <c r="T77" s="22"/>
      <c r="U77" s="22"/>
      <c r="V77" s="22"/>
      <c r="W77" s="22">
        <f>ROUND(SUM(W70:W76),5)</f>
        <v>52468</v>
      </c>
      <c r="X77" s="22"/>
      <c r="Y77" s="26">
        <f>ROUND(SUM(Y70:Y76),5)</f>
        <v>10000</v>
      </c>
      <c r="AA77" s="26">
        <f>ROUND(SUM(AA70:AA76),5)</f>
        <v>10000</v>
      </c>
      <c r="AC77" s="21">
        <f t="shared" ref="AC77:AE77" si="96">ROUND(SUM(AC70:AC76),5)</f>
        <v>85164.083329999994</v>
      </c>
      <c r="AD77" s="21">
        <f t="shared" si="96"/>
        <v>45048.52</v>
      </c>
      <c r="AE77" s="21">
        <f t="shared" si="96"/>
        <v>7161</v>
      </c>
      <c r="AG77" s="21">
        <f t="shared" ref="AG77:AI77" si="97">ROUND(SUM(AG70:AG76),5)</f>
        <v>-23856.233329999999</v>
      </c>
      <c r="AH77" s="21">
        <f t="shared" si="97"/>
        <v>-37375.519999999997</v>
      </c>
      <c r="AI77" s="21">
        <f t="shared" si="97"/>
        <v>512</v>
      </c>
      <c r="AK77" s="21"/>
      <c r="AL77" s="21"/>
      <c r="AM77" s="21"/>
    </row>
    <row r="78" spans="1:39" s="25" customFormat="1" x14ac:dyDescent="0.2">
      <c r="A78" s="19"/>
      <c r="B78" s="19"/>
      <c r="C78" s="19"/>
      <c r="D78" s="19"/>
      <c r="E78" s="19" t="s">
        <v>95</v>
      </c>
      <c r="F78" s="19"/>
      <c r="G78" s="19"/>
      <c r="H78" s="21"/>
      <c r="I78" s="21"/>
      <c r="J78" s="21"/>
      <c r="K78" s="21"/>
      <c r="L78" s="21"/>
      <c r="M78" s="21"/>
      <c r="N78" s="21"/>
      <c r="O78" s="21"/>
      <c r="P78" s="21"/>
      <c r="Q78" s="21"/>
      <c r="R78" s="21"/>
      <c r="S78" s="22"/>
      <c r="T78" s="22"/>
      <c r="U78" s="22"/>
      <c r="V78" s="22"/>
      <c r="W78" s="22"/>
      <c r="X78" s="22"/>
      <c r="Y78" s="26"/>
      <c r="AA78" s="26"/>
      <c r="AC78" s="21"/>
      <c r="AD78" s="21"/>
      <c r="AE78" s="21"/>
      <c r="AG78" s="21"/>
      <c r="AH78" s="21"/>
      <c r="AI78" s="21"/>
      <c r="AK78" s="21"/>
      <c r="AL78" s="21"/>
      <c r="AM78" s="21"/>
    </row>
    <row r="79" spans="1:39" s="25" customFormat="1" x14ac:dyDescent="0.2">
      <c r="A79" s="19"/>
      <c r="B79" s="19"/>
      <c r="C79" s="19"/>
      <c r="D79" s="19"/>
      <c r="E79" s="19"/>
      <c r="F79" s="24" t="s">
        <v>96</v>
      </c>
      <c r="G79" s="19"/>
      <c r="H79" s="21"/>
      <c r="I79" s="21"/>
      <c r="J79" s="21"/>
      <c r="K79" s="21"/>
      <c r="L79" s="21"/>
      <c r="M79" s="21">
        <v>30000</v>
      </c>
      <c r="N79" s="21"/>
      <c r="O79" s="21">
        <v>60000</v>
      </c>
      <c r="P79" s="21"/>
      <c r="Q79" s="21">
        <v>60000</v>
      </c>
      <c r="R79" s="21"/>
      <c r="S79" s="22">
        <v>60000</v>
      </c>
      <c r="T79" s="22"/>
      <c r="U79" s="22"/>
      <c r="V79" s="22"/>
      <c r="W79" s="22">
        <v>135000</v>
      </c>
      <c r="X79" s="22"/>
      <c r="Y79" s="26">
        <v>60000</v>
      </c>
      <c r="AA79" s="26"/>
      <c r="AC79" s="21">
        <f t="shared" ref="AC79:AC81" si="98">AVERAGE(K79:S79)</f>
        <v>52500</v>
      </c>
      <c r="AD79" s="21">
        <f>MAX(K79:S79)</f>
        <v>60000</v>
      </c>
      <c r="AE79" s="21">
        <f>MIN(K79:S79)</f>
        <v>30000</v>
      </c>
      <c r="AG79" s="21">
        <f t="shared" ref="AG79:AG81" si="99">+W79-AC79</f>
        <v>82500</v>
      </c>
      <c r="AH79" s="21">
        <f t="shared" ref="AH79:AH81" si="100">+W79-AD79</f>
        <v>75000</v>
      </c>
      <c r="AI79" s="21">
        <f t="shared" ref="AI79:AI81" si="101">+W79-AE79</f>
        <v>105000</v>
      </c>
      <c r="AK79" s="21">
        <f t="shared" ref="AK79:AK81" si="102">+Y79-AC79</f>
        <v>7500</v>
      </c>
      <c r="AL79" s="21">
        <f t="shared" ref="AL79:AL81" si="103">+Y79-AD79</f>
        <v>0</v>
      </c>
      <c r="AM79" s="21">
        <f t="shared" ref="AM79:AM81" si="104">+Y79-AE79</f>
        <v>30000</v>
      </c>
    </row>
    <row r="80" spans="1:39" s="25" customFormat="1" x14ac:dyDescent="0.2">
      <c r="A80" s="19"/>
      <c r="B80" s="19"/>
      <c r="C80" s="19"/>
      <c r="D80" s="19"/>
      <c r="E80" s="19"/>
      <c r="F80" s="19" t="s">
        <v>97</v>
      </c>
      <c r="G80" s="19"/>
      <c r="H80" s="21"/>
      <c r="I80" s="21"/>
      <c r="J80" s="21"/>
      <c r="K80" s="21"/>
      <c r="L80" s="21"/>
      <c r="M80" s="21">
        <v>37500</v>
      </c>
      <c r="N80" s="21"/>
      <c r="O80" s="21"/>
      <c r="P80" s="21"/>
      <c r="Q80" s="21">
        <v>37500</v>
      </c>
      <c r="R80" s="21"/>
      <c r="S80" s="22">
        <v>37500</v>
      </c>
      <c r="T80" s="22"/>
      <c r="U80" s="22"/>
      <c r="V80" s="22"/>
      <c r="W80" s="22">
        <v>0</v>
      </c>
      <c r="X80" s="22"/>
      <c r="Y80" s="26">
        <v>37500</v>
      </c>
      <c r="AA80" s="26">
        <v>37500</v>
      </c>
      <c r="AC80" s="21">
        <f t="shared" si="98"/>
        <v>37500</v>
      </c>
      <c r="AD80" s="21">
        <f>MAX(K80:S80)</f>
        <v>37500</v>
      </c>
      <c r="AE80" s="21">
        <f>MIN(K80:S80)</f>
        <v>37500</v>
      </c>
      <c r="AG80" s="21">
        <f t="shared" si="99"/>
        <v>-37500</v>
      </c>
      <c r="AH80" s="21">
        <f t="shared" si="100"/>
        <v>-37500</v>
      </c>
      <c r="AI80" s="21">
        <f t="shared" si="101"/>
        <v>-37500</v>
      </c>
      <c r="AK80" s="21">
        <f t="shared" si="102"/>
        <v>0</v>
      </c>
      <c r="AL80" s="21">
        <f t="shared" si="103"/>
        <v>0</v>
      </c>
      <c r="AM80" s="21">
        <f t="shared" si="104"/>
        <v>0</v>
      </c>
    </row>
    <row r="81" spans="1:39" s="25" customFormat="1" ht="12" thickBot="1" x14ac:dyDescent="0.25">
      <c r="A81" s="19"/>
      <c r="B81" s="19"/>
      <c r="C81" s="19"/>
      <c r="D81" s="19"/>
      <c r="E81" s="19"/>
      <c r="F81" s="19" t="s">
        <v>98</v>
      </c>
      <c r="G81" s="19"/>
      <c r="H81" s="21"/>
      <c r="I81" s="27"/>
      <c r="J81" s="21"/>
      <c r="K81" s="27"/>
      <c r="L81" s="21"/>
      <c r="M81" s="27"/>
      <c r="N81" s="21"/>
      <c r="O81" s="27">
        <v>300000</v>
      </c>
      <c r="P81" s="27"/>
      <c r="Q81" s="21">
        <v>150000</v>
      </c>
      <c r="R81" s="21"/>
      <c r="S81" s="28"/>
      <c r="T81" s="28"/>
      <c r="U81" s="28"/>
      <c r="V81" s="22"/>
      <c r="W81" s="28"/>
      <c r="X81" s="22"/>
      <c r="Y81" s="29">
        <v>0</v>
      </c>
      <c r="AA81" s="29">
        <v>0</v>
      </c>
      <c r="AC81" s="27">
        <f t="shared" si="98"/>
        <v>225000</v>
      </c>
      <c r="AD81" s="27">
        <f>MAX(K81:S81)</f>
        <v>300000</v>
      </c>
      <c r="AE81" s="27">
        <f>MIN(K81:S81)</f>
        <v>150000</v>
      </c>
      <c r="AG81" s="27">
        <f t="shared" si="99"/>
        <v>-225000</v>
      </c>
      <c r="AH81" s="27">
        <f t="shared" si="100"/>
        <v>-300000</v>
      </c>
      <c r="AI81" s="27">
        <f t="shared" si="101"/>
        <v>-150000</v>
      </c>
      <c r="AK81" s="27">
        <f t="shared" si="102"/>
        <v>-225000</v>
      </c>
      <c r="AL81" s="27">
        <f t="shared" si="103"/>
        <v>-300000</v>
      </c>
      <c r="AM81" s="27">
        <f t="shared" si="104"/>
        <v>-150000</v>
      </c>
    </row>
    <row r="82" spans="1:39" s="25" customFormat="1" ht="12" thickBot="1" x14ac:dyDescent="0.25">
      <c r="A82" s="19"/>
      <c r="B82" s="19"/>
      <c r="C82" s="19"/>
      <c r="D82" s="19"/>
      <c r="E82" s="19" t="s">
        <v>99</v>
      </c>
      <c r="F82" s="19"/>
      <c r="G82" s="19"/>
      <c r="H82" s="21"/>
      <c r="I82" s="37">
        <f>ROUND(SUM(I78:I81),5)</f>
        <v>0</v>
      </c>
      <c r="J82" s="21"/>
      <c r="K82" s="37">
        <f>ROUND(SUM(K78:K81),5)</f>
        <v>0</v>
      </c>
      <c r="L82" s="21"/>
      <c r="M82" s="37">
        <f>ROUND(SUM(M78:M81),5)</f>
        <v>67500</v>
      </c>
      <c r="N82" s="21"/>
      <c r="O82" s="37">
        <f>ROUND(SUM(O78:O81),5)</f>
        <v>360000</v>
      </c>
      <c r="P82" s="37"/>
      <c r="Q82" s="37">
        <f>ROUND(SUM(Q78:Q81),5)</f>
        <v>247500</v>
      </c>
      <c r="R82" s="37"/>
      <c r="S82" s="38">
        <f>ROUND(SUM(S78:S81),5)</f>
        <v>97500</v>
      </c>
      <c r="T82" s="28"/>
      <c r="U82" s="28"/>
      <c r="V82" s="22"/>
      <c r="W82" s="38">
        <f>ROUND(SUM(W78:W81),5)</f>
        <v>135000</v>
      </c>
      <c r="X82" s="22"/>
      <c r="Y82" s="39">
        <f>ROUND(SUM(Y78:Y81),5)</f>
        <v>97500</v>
      </c>
      <c r="AA82" s="39">
        <f>ROUND(SUM(AA78:AA81),5)</f>
        <v>37500</v>
      </c>
      <c r="AC82" s="37">
        <f>ROUND(SUM(AC78:AC81),5)</f>
        <v>315000</v>
      </c>
      <c r="AD82" s="37">
        <f>ROUND(SUM(AD78:AD81),5)</f>
        <v>397500</v>
      </c>
      <c r="AE82" s="37">
        <f>ROUND(SUM(AE78:AE81),5)</f>
        <v>217500</v>
      </c>
      <c r="AG82" s="37">
        <f>ROUND(SUM(AG78:AG81),5)</f>
        <v>-180000</v>
      </c>
      <c r="AH82" s="37">
        <f>ROUND(SUM(AH78:AH81),5)</f>
        <v>-262500</v>
      </c>
      <c r="AI82" s="37">
        <f>ROUND(SUM(AI78:AI81),5)</f>
        <v>-82500</v>
      </c>
      <c r="AK82" s="37">
        <f>ROUND(SUM(AK78:AK81),5)</f>
        <v>-217500</v>
      </c>
      <c r="AL82" s="37">
        <f>ROUND(SUM(AL78:AL81),5)</f>
        <v>-300000</v>
      </c>
      <c r="AM82" s="37">
        <f>ROUND(SUM(AM78:AM81),5)</f>
        <v>-120000</v>
      </c>
    </row>
    <row r="83" spans="1:39" s="25" customFormat="1" ht="12" thickBot="1" x14ac:dyDescent="0.25">
      <c r="A83" s="19"/>
      <c r="B83" s="19"/>
      <c r="C83" s="19"/>
      <c r="D83" s="19" t="s">
        <v>100</v>
      </c>
      <c r="E83" s="19"/>
      <c r="F83" s="19"/>
      <c r="G83" s="19"/>
      <c r="H83" s="21"/>
      <c r="I83" s="30">
        <f>ROUND(I4+I13+I32+I47+I60+I64+I69+I77+I82,5)</f>
        <v>3114940</v>
      </c>
      <c r="J83" s="21"/>
      <c r="K83" s="30">
        <f>ROUND(K4+K13+K32+K47+K60+K64+K69+K77+K82,5)</f>
        <v>3343296</v>
      </c>
      <c r="L83" s="21"/>
      <c r="M83" s="30">
        <f>ROUND(M4+M13+M32+M47+M60+M64+M69+M77+M82,5)</f>
        <v>3585618</v>
      </c>
      <c r="N83" s="21"/>
      <c r="O83" s="30">
        <f>ROUND(O4+O13+O32+O47+O60+O64+O69+O77+O82,5)</f>
        <v>3852059.68</v>
      </c>
      <c r="P83" s="30"/>
      <c r="Q83" s="30">
        <f>ROUND(Q4+Q13+Q32+Q47+Q60+Q64+Q69+Q77+Q82,5)</f>
        <v>4089773.72</v>
      </c>
      <c r="R83" s="30"/>
      <c r="S83" s="31">
        <f>ROUND(S4+S13+S32+S47+S60+S64+S69+S77+S82,5)</f>
        <v>3595486.06</v>
      </c>
      <c r="T83" s="28"/>
      <c r="U83" s="28"/>
      <c r="V83" s="22"/>
      <c r="W83" s="31">
        <f>ROUND(W4+W13+W32+W47+W60+W64+W69+W77+W82,5)</f>
        <v>3148646.86</v>
      </c>
      <c r="X83" s="22"/>
      <c r="Y83" s="32">
        <f>ROUND(Y4+Y13+Y32+Y47+Y60+Y64+Y69+Y77+Y82,5)</f>
        <v>3704050</v>
      </c>
      <c r="AA83" s="32">
        <f>ROUND(AA4+AA13+AA32+AA47+AA60+AA64+AA69+AA77+AA82,5)</f>
        <v>3725550</v>
      </c>
      <c r="AC83" s="30">
        <f>ROUND(AC4+AC13+AC32+AC47+AC60+AC64+AC69+AC77+AC82,5)</f>
        <v>3820090.7680000002</v>
      </c>
      <c r="AD83" s="30">
        <f>ROUND(AD4+AD13+AD32+AD47+AD60+AD64+AD69+AD77+AD82,5)</f>
        <v>4396318.49</v>
      </c>
      <c r="AE83" s="30">
        <f>ROUND(AE4+AE13+AE32+AE47+AE60+AE64+AE69+AE77+AE82,5)</f>
        <v>2968194.23</v>
      </c>
      <c r="AG83" s="30">
        <f>ROUND(AG4+AG13+AG32+AG47+AG60+AG64+AG69+AG77+AG82,5)</f>
        <v>-723181.48100000003</v>
      </c>
      <c r="AH83" s="30">
        <f>ROUND(AH4+AH13+AH32+AH47+AH60+AH64+AH69+AH77+AH82,5)</f>
        <v>-1381549.55</v>
      </c>
      <c r="AI83" s="30">
        <f>ROUND(AI4+AI13+AI32+AI47+AI60+AI64+AI69+AI77+AI82,5)</f>
        <v>37669.57</v>
      </c>
      <c r="AK83" s="30">
        <f>ROUND(AK4+AK13+AK32+AK47+AK60+AK64+AK69+AK77+AK82,5)</f>
        <v>-217500</v>
      </c>
      <c r="AL83" s="30">
        <f>ROUND(AL4+AL13+AL32+AL47+AL60+AL64+AL69+AL77+AL82,5)</f>
        <v>-300000</v>
      </c>
      <c r="AM83" s="30">
        <f>ROUND(AM4+AM13+AM32+AM47+AM60+AM64+AM69+AM77+AM82,5)</f>
        <v>-120000</v>
      </c>
    </row>
    <row r="84" spans="1:39" s="25" customFormat="1" x14ac:dyDescent="0.2">
      <c r="A84" s="19"/>
      <c r="B84" s="19"/>
      <c r="C84" s="19" t="s">
        <v>101</v>
      </c>
      <c r="D84" s="19"/>
      <c r="E84" s="19"/>
      <c r="F84" s="19"/>
      <c r="G84" s="19"/>
      <c r="H84" s="21"/>
      <c r="I84" s="21">
        <f>I83</f>
        <v>3114940</v>
      </c>
      <c r="J84" s="21"/>
      <c r="K84" s="21">
        <f>K83</f>
        <v>3343296</v>
      </c>
      <c r="L84" s="21"/>
      <c r="M84" s="21">
        <f>M83</f>
        <v>3585618</v>
      </c>
      <c r="N84" s="21"/>
      <c r="O84" s="21">
        <f>O83</f>
        <v>3852059.68</v>
      </c>
      <c r="P84" s="21"/>
      <c r="Q84" s="21">
        <f>Q83</f>
        <v>4089773.72</v>
      </c>
      <c r="R84" s="21"/>
      <c r="S84" s="22">
        <f>S83</f>
        <v>3595486.06</v>
      </c>
      <c r="T84" s="22"/>
      <c r="U84" s="22"/>
      <c r="V84" s="22"/>
      <c r="W84" s="22">
        <f>W83</f>
        <v>3148646.86</v>
      </c>
      <c r="X84" s="22"/>
      <c r="Y84" s="26">
        <f>Y83</f>
        <v>3704050</v>
      </c>
      <c r="AA84" s="26">
        <f>AA83</f>
        <v>3725550</v>
      </c>
      <c r="AC84" s="21">
        <f>AC83</f>
        <v>3820090.7680000002</v>
      </c>
      <c r="AD84" s="21">
        <f>AD83</f>
        <v>4396318.49</v>
      </c>
      <c r="AE84" s="21">
        <f>AE83</f>
        <v>2968194.23</v>
      </c>
      <c r="AG84" s="21">
        <f>AG83</f>
        <v>-723181.48100000003</v>
      </c>
      <c r="AH84" s="21">
        <f>AH83</f>
        <v>-1381549.55</v>
      </c>
      <c r="AI84" s="21">
        <f>AI83</f>
        <v>37669.57</v>
      </c>
      <c r="AK84" s="21">
        <f>AK83</f>
        <v>-217500</v>
      </c>
      <c r="AL84" s="21">
        <f>AL83</f>
        <v>-300000</v>
      </c>
      <c r="AM84" s="21">
        <f>AM83</f>
        <v>-120000</v>
      </c>
    </row>
    <row r="85" spans="1:39" s="25" customFormat="1" x14ac:dyDescent="0.2">
      <c r="A85" s="19"/>
      <c r="B85" s="19"/>
      <c r="C85" s="19"/>
      <c r="D85" s="19"/>
      <c r="E85" s="19"/>
      <c r="F85" s="19"/>
      <c r="G85" s="19"/>
      <c r="H85" s="21"/>
      <c r="I85" s="21"/>
      <c r="J85" s="21"/>
      <c r="K85" s="21"/>
      <c r="L85" s="21"/>
      <c r="M85" s="21"/>
      <c r="N85" s="21"/>
      <c r="O85" s="21"/>
      <c r="P85" s="21"/>
      <c r="Q85" s="21"/>
      <c r="R85" s="21"/>
      <c r="S85" s="22"/>
      <c r="T85" s="22"/>
      <c r="U85" s="22"/>
      <c r="V85" s="22"/>
      <c r="W85" s="22"/>
      <c r="X85" s="22"/>
      <c r="Y85" s="26"/>
      <c r="AA85" s="26"/>
      <c r="AC85" s="21"/>
      <c r="AD85" s="21"/>
      <c r="AE85" s="21"/>
      <c r="AG85" s="21"/>
      <c r="AH85" s="21"/>
      <c r="AI85" s="21"/>
      <c r="AK85" s="21"/>
      <c r="AL85" s="21"/>
      <c r="AM85" s="21"/>
    </row>
    <row r="86" spans="1:39" s="25" customFormat="1" x14ac:dyDescent="0.2">
      <c r="A86" s="19"/>
      <c r="B86" s="19"/>
      <c r="C86" s="19"/>
      <c r="D86" s="40" t="s">
        <v>102</v>
      </c>
      <c r="E86" s="19"/>
      <c r="F86" s="19"/>
      <c r="G86" s="19"/>
      <c r="H86" s="21"/>
      <c r="I86" s="21"/>
      <c r="J86" s="21"/>
      <c r="K86" s="21"/>
      <c r="L86" s="21"/>
      <c r="M86" s="21"/>
      <c r="N86" s="21"/>
      <c r="O86" s="21"/>
      <c r="P86" s="21"/>
      <c r="Q86" s="21"/>
      <c r="R86" s="21"/>
      <c r="S86" s="22"/>
      <c r="T86" s="22"/>
      <c r="U86" s="22"/>
      <c r="V86" s="22"/>
      <c r="W86" s="22"/>
      <c r="X86" s="22"/>
      <c r="Y86" s="26"/>
      <c r="AA86" s="26"/>
      <c r="AC86" s="21"/>
      <c r="AD86" s="21"/>
      <c r="AE86" s="21"/>
      <c r="AG86" s="21"/>
      <c r="AH86" s="21"/>
      <c r="AI86" s="21"/>
      <c r="AK86" s="21"/>
      <c r="AL86" s="21"/>
      <c r="AM86" s="21"/>
    </row>
    <row r="87" spans="1:39" s="25" customFormat="1" x14ac:dyDescent="0.2">
      <c r="A87" s="19"/>
      <c r="B87" s="19"/>
      <c r="C87" s="19"/>
      <c r="D87" s="19"/>
      <c r="E87" s="19"/>
      <c r="F87" s="19"/>
      <c r="G87" s="19"/>
      <c r="H87" s="21"/>
      <c r="I87" s="21"/>
      <c r="J87" s="21"/>
      <c r="K87" s="21"/>
      <c r="L87" s="21"/>
      <c r="M87" s="21"/>
      <c r="N87" s="21"/>
      <c r="O87" s="21"/>
      <c r="P87" s="21"/>
      <c r="Q87" s="21"/>
      <c r="R87" s="21"/>
      <c r="S87" s="22"/>
      <c r="T87" s="22"/>
      <c r="U87" s="22"/>
      <c r="V87" s="22"/>
      <c r="W87" s="22"/>
      <c r="X87" s="22"/>
      <c r="Y87" s="26"/>
      <c r="AA87" s="26"/>
      <c r="AC87" s="21"/>
      <c r="AD87" s="21"/>
      <c r="AE87" s="21"/>
      <c r="AG87" s="21"/>
      <c r="AH87" s="21"/>
      <c r="AI87" s="21"/>
      <c r="AK87" s="21"/>
      <c r="AL87" s="21"/>
      <c r="AM87" s="21"/>
    </row>
    <row r="88" spans="1:39" s="25" customFormat="1" x14ac:dyDescent="0.2">
      <c r="A88" s="19"/>
      <c r="B88" s="19"/>
      <c r="C88" s="19"/>
      <c r="D88" s="19"/>
      <c r="E88" s="40" t="s">
        <v>103</v>
      </c>
      <c r="F88" s="19"/>
      <c r="G88" s="19"/>
      <c r="H88" s="21"/>
      <c r="I88" s="21"/>
      <c r="J88" s="21"/>
      <c r="K88" s="21"/>
      <c r="L88" s="21"/>
      <c r="M88" s="21"/>
      <c r="N88" s="21"/>
      <c r="O88" s="21"/>
      <c r="P88" s="21"/>
      <c r="Q88" s="21"/>
      <c r="R88" s="21"/>
      <c r="S88" s="22"/>
      <c r="T88" s="22"/>
      <c r="U88" s="22"/>
      <c r="V88" s="22"/>
      <c r="W88" s="22"/>
      <c r="X88" s="22"/>
      <c r="Y88" s="26"/>
      <c r="AA88" s="26"/>
      <c r="AC88" s="21"/>
      <c r="AD88" s="21"/>
      <c r="AE88" s="21"/>
      <c r="AG88" s="21"/>
      <c r="AH88" s="21"/>
      <c r="AI88" s="21"/>
      <c r="AK88" s="21"/>
      <c r="AL88" s="21"/>
      <c r="AM88" s="21"/>
    </row>
    <row r="89" spans="1:39" s="25" customFormat="1" x14ac:dyDescent="0.2">
      <c r="A89" s="19"/>
      <c r="B89" s="19"/>
      <c r="C89" s="19"/>
      <c r="D89" s="19"/>
      <c r="E89" s="19"/>
      <c r="F89" s="19" t="s">
        <v>104</v>
      </c>
      <c r="G89" s="19"/>
      <c r="H89" s="21"/>
      <c r="I89" s="21"/>
      <c r="J89" s="21"/>
      <c r="K89" s="21"/>
      <c r="L89" s="21"/>
      <c r="M89" s="21"/>
      <c r="N89" s="21"/>
      <c r="O89" s="21"/>
      <c r="P89" s="21"/>
      <c r="Q89" s="21"/>
      <c r="R89" s="21"/>
      <c r="S89" s="22"/>
      <c r="T89" s="22"/>
      <c r="U89" s="22"/>
      <c r="V89" s="22"/>
      <c r="W89" s="22"/>
      <c r="X89" s="22"/>
      <c r="Y89" s="26"/>
      <c r="AA89" s="26"/>
      <c r="AC89" s="21"/>
      <c r="AD89" s="21"/>
      <c r="AE89" s="21"/>
      <c r="AG89" s="21"/>
      <c r="AH89" s="21"/>
      <c r="AI89" s="21"/>
      <c r="AK89" s="21"/>
      <c r="AL89" s="21"/>
      <c r="AM89" s="21"/>
    </row>
    <row r="90" spans="1:39" s="25" customFormat="1" x14ac:dyDescent="0.2">
      <c r="A90" s="19"/>
      <c r="B90" s="19"/>
      <c r="C90" s="19"/>
      <c r="D90" s="19"/>
      <c r="E90" s="19"/>
      <c r="F90" s="19"/>
      <c r="G90" s="19" t="s">
        <v>105</v>
      </c>
      <c r="H90" s="21"/>
      <c r="I90" s="21">
        <v>26666</v>
      </c>
      <c r="J90" s="21"/>
      <c r="K90" s="21">
        <v>29236</v>
      </c>
      <c r="L90" s="21"/>
      <c r="M90" s="21">
        <v>32191</v>
      </c>
      <c r="N90" s="21"/>
      <c r="O90" s="21">
        <v>32213.9</v>
      </c>
      <c r="P90" s="21"/>
      <c r="Q90" s="21">
        <v>27207.599999999999</v>
      </c>
      <c r="R90" s="21"/>
      <c r="S90" s="26">
        <v>30200.17</v>
      </c>
      <c r="T90" s="22"/>
      <c r="U90" s="22"/>
      <c r="V90" s="22"/>
      <c r="W90" s="26">
        <v>20257.11</v>
      </c>
      <c r="X90" s="22"/>
      <c r="Y90" s="26">
        <v>35000</v>
      </c>
      <c r="AA90" s="26">
        <v>35000</v>
      </c>
      <c r="AC90" s="21">
        <f t="shared" ref="AC90:AC108" si="105">AVERAGE(K90:S90)</f>
        <v>30209.733999999997</v>
      </c>
      <c r="AD90" s="21">
        <f t="shared" ref="AD90:AD113" si="106">MAX(K90:S90)</f>
        <v>32213.9</v>
      </c>
      <c r="AE90" s="21">
        <f t="shared" ref="AE90:AE113" si="107">MIN(K90:S90)</f>
        <v>27207.599999999999</v>
      </c>
      <c r="AG90" s="21">
        <f t="shared" ref="AG90:AG113" si="108">+W90-AC90</f>
        <v>-9952.6239999999962</v>
      </c>
      <c r="AH90" s="21">
        <f t="shared" ref="AH90:AH113" si="109">+W90-AD90</f>
        <v>-11956.79</v>
      </c>
      <c r="AI90" s="21">
        <f t="shared" ref="AI90:AI113" si="110">+W90-AE90</f>
        <v>-6950.489999999998</v>
      </c>
      <c r="AK90" s="21">
        <f t="shared" ref="AK90:AK113" si="111">+Y90-AC90</f>
        <v>4790.2660000000033</v>
      </c>
      <c r="AL90" s="21">
        <f t="shared" ref="AL90:AL113" si="112">+Y90-AD90</f>
        <v>2786.0999999999985</v>
      </c>
      <c r="AM90" s="21">
        <f t="shared" ref="AM90:AM113" si="113">+Y90-AE90</f>
        <v>7792.4000000000015</v>
      </c>
    </row>
    <row r="91" spans="1:39" s="25" customFormat="1" x14ac:dyDescent="0.2">
      <c r="A91" s="19"/>
      <c r="B91" s="19"/>
      <c r="C91" s="19"/>
      <c r="D91" s="19"/>
      <c r="E91" s="19"/>
      <c r="F91" s="19"/>
      <c r="G91" s="19" t="s">
        <v>106</v>
      </c>
      <c r="H91" s="21"/>
      <c r="I91" s="21">
        <v>5765</v>
      </c>
      <c r="J91" s="21"/>
      <c r="K91" s="21">
        <v>6464</v>
      </c>
      <c r="L91" s="21"/>
      <c r="M91" s="21">
        <v>6041</v>
      </c>
      <c r="N91" s="21"/>
      <c r="O91" s="21">
        <v>7678.54</v>
      </c>
      <c r="P91" s="21"/>
      <c r="Q91" s="21">
        <v>6378.18</v>
      </c>
      <c r="R91" s="21"/>
      <c r="S91" s="22">
        <v>6186.78</v>
      </c>
      <c r="T91" s="22"/>
      <c r="U91" s="22"/>
      <c r="V91" s="22"/>
      <c r="W91" s="22">
        <v>8017.14</v>
      </c>
      <c r="X91" s="22"/>
      <c r="Y91" s="26">
        <v>6000</v>
      </c>
      <c r="AA91" s="26">
        <f>0.01*(AA7+AA8)</f>
        <v>7500</v>
      </c>
      <c r="AC91" s="21">
        <f t="shared" si="105"/>
        <v>6549.7</v>
      </c>
      <c r="AD91" s="21">
        <f t="shared" si="106"/>
        <v>7678.54</v>
      </c>
      <c r="AE91" s="21">
        <f t="shared" si="107"/>
        <v>6041</v>
      </c>
      <c r="AG91" s="21">
        <f t="shared" si="108"/>
        <v>1467.4400000000005</v>
      </c>
      <c r="AH91" s="21">
        <f t="shared" si="109"/>
        <v>338.60000000000036</v>
      </c>
      <c r="AI91" s="21">
        <f t="shared" si="110"/>
        <v>1976.1400000000003</v>
      </c>
      <c r="AK91" s="21">
        <f t="shared" si="111"/>
        <v>-549.69999999999982</v>
      </c>
      <c r="AL91" s="21">
        <f t="shared" si="112"/>
        <v>-1678.54</v>
      </c>
      <c r="AM91" s="21">
        <f t="shared" si="113"/>
        <v>-41</v>
      </c>
    </row>
    <row r="92" spans="1:39" s="25" customFormat="1" x14ac:dyDescent="0.2">
      <c r="A92" s="19"/>
      <c r="B92" s="19"/>
      <c r="C92" s="19"/>
      <c r="D92" s="19"/>
      <c r="E92" s="19"/>
      <c r="F92" s="19"/>
      <c r="G92" s="19" t="s">
        <v>107</v>
      </c>
      <c r="H92" s="21"/>
      <c r="I92" s="21">
        <v>10396</v>
      </c>
      <c r="J92" s="21"/>
      <c r="K92" s="21">
        <v>15145</v>
      </c>
      <c r="L92" s="21"/>
      <c r="M92" s="21">
        <v>9080</v>
      </c>
      <c r="N92" s="21"/>
      <c r="O92" s="21">
        <v>6545.68</v>
      </c>
      <c r="P92" s="21"/>
      <c r="Q92" s="21">
        <v>11182.13</v>
      </c>
      <c r="R92" s="21"/>
      <c r="S92" s="22">
        <v>2943.03</v>
      </c>
      <c r="T92" s="22"/>
      <c r="U92" s="22"/>
      <c r="V92" s="22"/>
      <c r="W92" s="22">
        <v>1377.55</v>
      </c>
      <c r="X92" s="22"/>
      <c r="Y92" s="26">
        <v>3000</v>
      </c>
      <c r="AA92" s="26">
        <v>0</v>
      </c>
      <c r="AC92" s="21">
        <f t="shared" si="105"/>
        <v>8979.1679999999997</v>
      </c>
      <c r="AD92" s="21">
        <f t="shared" si="106"/>
        <v>15145</v>
      </c>
      <c r="AE92" s="21">
        <f t="shared" si="107"/>
        <v>2943.03</v>
      </c>
      <c r="AG92" s="21">
        <f t="shared" si="108"/>
        <v>-7601.6179999999995</v>
      </c>
      <c r="AH92" s="21">
        <f t="shared" si="109"/>
        <v>-13767.45</v>
      </c>
      <c r="AI92" s="21">
        <f t="shared" si="110"/>
        <v>-1565.4800000000002</v>
      </c>
      <c r="AK92" s="21">
        <f t="shared" si="111"/>
        <v>-5979.1679999999997</v>
      </c>
      <c r="AL92" s="21">
        <f t="shared" si="112"/>
        <v>-12145</v>
      </c>
      <c r="AM92" s="21">
        <f t="shared" si="113"/>
        <v>56.9699999999998</v>
      </c>
    </row>
    <row r="93" spans="1:39" s="36" customFormat="1" x14ac:dyDescent="0.2">
      <c r="A93" s="19"/>
      <c r="B93" s="19"/>
      <c r="C93" s="19"/>
      <c r="D93" s="19"/>
      <c r="E93" s="19"/>
      <c r="F93" s="25"/>
      <c r="G93" s="19" t="s">
        <v>108</v>
      </c>
      <c r="H93" s="21"/>
      <c r="I93" s="27"/>
      <c r="J93" s="27"/>
      <c r="K93" s="27">
        <v>657</v>
      </c>
      <c r="L93" s="27"/>
      <c r="M93" s="27">
        <v>1272</v>
      </c>
      <c r="N93" s="27"/>
      <c r="O93" s="27">
        <v>1614.58</v>
      </c>
      <c r="P93" s="27"/>
      <c r="Q93" s="27">
        <v>1630.56</v>
      </c>
      <c r="R93" s="27"/>
      <c r="S93" s="22">
        <v>2987.59</v>
      </c>
      <c r="T93" s="28"/>
      <c r="U93" s="28"/>
      <c r="V93" s="28"/>
      <c r="W93" s="22">
        <v>2345.59</v>
      </c>
      <c r="X93" s="28"/>
      <c r="Y93" s="29">
        <v>3000</v>
      </c>
      <c r="AA93" s="29">
        <v>3000</v>
      </c>
      <c r="AC93" s="27">
        <f t="shared" si="105"/>
        <v>1632.346</v>
      </c>
      <c r="AD93" s="27">
        <f t="shared" si="106"/>
        <v>2987.59</v>
      </c>
      <c r="AE93" s="27">
        <f t="shared" si="107"/>
        <v>657</v>
      </c>
      <c r="AG93" s="27">
        <f t="shared" si="108"/>
        <v>713.24400000000014</v>
      </c>
      <c r="AH93" s="27">
        <f t="shared" si="109"/>
        <v>-642</v>
      </c>
      <c r="AI93" s="27">
        <f t="shared" si="110"/>
        <v>1688.5900000000001</v>
      </c>
      <c r="AK93" s="27">
        <f t="shared" si="111"/>
        <v>1367.654</v>
      </c>
      <c r="AL93" s="27">
        <f t="shared" si="112"/>
        <v>12.409999999999854</v>
      </c>
      <c r="AM93" s="27">
        <f t="shared" si="113"/>
        <v>2343</v>
      </c>
    </row>
    <row r="94" spans="1:39" s="25" customFormat="1" x14ac:dyDescent="0.2">
      <c r="A94" s="19"/>
      <c r="B94" s="19"/>
      <c r="C94" s="19"/>
      <c r="D94" s="19"/>
      <c r="E94" s="19"/>
      <c r="F94" s="19"/>
      <c r="G94" s="19" t="s">
        <v>109</v>
      </c>
      <c r="H94" s="21"/>
      <c r="I94" s="21">
        <v>3429</v>
      </c>
      <c r="J94" s="21"/>
      <c r="K94" s="21">
        <v>3112</v>
      </c>
      <c r="L94" s="21"/>
      <c r="M94" s="21">
        <v>3688</v>
      </c>
      <c r="N94" s="21"/>
      <c r="O94" s="21">
        <v>9563.14</v>
      </c>
      <c r="P94" s="21"/>
      <c r="Q94" s="21">
        <v>1915.3</v>
      </c>
      <c r="R94" s="21"/>
      <c r="S94" s="22">
        <v>5869.79</v>
      </c>
      <c r="T94" s="22"/>
      <c r="U94" s="22"/>
      <c r="V94" s="22"/>
      <c r="W94" s="22">
        <v>377.63</v>
      </c>
      <c r="X94" s="22"/>
      <c r="Y94" s="26">
        <v>5000</v>
      </c>
      <c r="AA94" s="26">
        <v>2000</v>
      </c>
      <c r="AC94" s="21">
        <f t="shared" si="105"/>
        <v>4829.6459999999997</v>
      </c>
      <c r="AD94" s="21">
        <f t="shared" si="106"/>
        <v>9563.14</v>
      </c>
      <c r="AE94" s="21">
        <f t="shared" si="107"/>
        <v>1915.3</v>
      </c>
      <c r="AG94" s="21">
        <f t="shared" si="108"/>
        <v>-4452.0159999999996</v>
      </c>
      <c r="AH94" s="21">
        <f t="shared" si="109"/>
        <v>-9185.51</v>
      </c>
      <c r="AI94" s="21">
        <f t="shared" si="110"/>
        <v>-1537.67</v>
      </c>
      <c r="AK94" s="21">
        <f t="shared" si="111"/>
        <v>170.35400000000027</v>
      </c>
      <c r="AL94" s="21">
        <f t="shared" si="112"/>
        <v>-4563.1399999999994</v>
      </c>
      <c r="AM94" s="21">
        <f t="shared" si="113"/>
        <v>3084.7</v>
      </c>
    </row>
    <row r="95" spans="1:39" s="25" customFormat="1" x14ac:dyDescent="0.2">
      <c r="A95" s="19"/>
      <c r="B95" s="19"/>
      <c r="C95" s="19"/>
      <c r="D95" s="19"/>
      <c r="E95" s="19"/>
      <c r="F95" s="19"/>
      <c r="G95" s="19" t="s">
        <v>110</v>
      </c>
      <c r="H95" s="21"/>
      <c r="I95" s="21">
        <v>4204</v>
      </c>
      <c r="J95" s="21"/>
      <c r="K95" s="21">
        <v>4860</v>
      </c>
      <c r="L95" s="21"/>
      <c r="M95" s="21">
        <v>2019</v>
      </c>
      <c r="N95" s="21"/>
      <c r="O95" s="21">
        <v>2233.83</v>
      </c>
      <c r="P95" s="21"/>
      <c r="Q95" s="21">
        <v>1404.87</v>
      </c>
      <c r="R95" s="21"/>
      <c r="S95" s="22">
        <v>1932.39</v>
      </c>
      <c r="T95" s="22"/>
      <c r="U95" s="22"/>
      <c r="V95" s="22"/>
      <c r="W95" s="22">
        <v>6338.89</v>
      </c>
      <c r="X95" s="22"/>
      <c r="Y95" s="26">
        <v>2000</v>
      </c>
      <c r="AA95" s="26">
        <v>3000</v>
      </c>
      <c r="AC95" s="21">
        <f t="shared" si="105"/>
        <v>2490.018</v>
      </c>
      <c r="AD95" s="21">
        <f t="shared" si="106"/>
        <v>4860</v>
      </c>
      <c r="AE95" s="21">
        <f t="shared" si="107"/>
        <v>1404.87</v>
      </c>
      <c r="AG95" s="21">
        <f t="shared" si="108"/>
        <v>3848.8720000000003</v>
      </c>
      <c r="AH95" s="21">
        <f t="shared" si="109"/>
        <v>1478.8900000000003</v>
      </c>
      <c r="AI95" s="21">
        <f t="shared" si="110"/>
        <v>4934.0200000000004</v>
      </c>
      <c r="AK95" s="21">
        <f t="shared" si="111"/>
        <v>-490.01800000000003</v>
      </c>
      <c r="AL95" s="21">
        <f t="shared" si="112"/>
        <v>-2860</v>
      </c>
      <c r="AM95" s="21">
        <f t="shared" si="113"/>
        <v>595.13000000000011</v>
      </c>
    </row>
    <row r="96" spans="1:39" s="25" customFormat="1" x14ac:dyDescent="0.2">
      <c r="A96" s="19"/>
      <c r="B96" s="19"/>
      <c r="C96" s="19"/>
      <c r="D96" s="19"/>
      <c r="E96" s="19"/>
      <c r="F96" s="19"/>
      <c r="G96" s="24" t="s">
        <v>111</v>
      </c>
      <c r="H96" s="21"/>
      <c r="I96" s="21">
        <v>5150</v>
      </c>
      <c r="J96" s="21"/>
      <c r="K96" s="21">
        <v>6650</v>
      </c>
      <c r="L96" s="21"/>
      <c r="M96" s="21">
        <v>6450</v>
      </c>
      <c r="N96" s="21"/>
      <c r="O96" s="21">
        <v>18624.55</v>
      </c>
      <c r="P96" s="21"/>
      <c r="Q96" s="21">
        <v>6303.43</v>
      </c>
      <c r="R96" s="21"/>
      <c r="S96" s="22">
        <v>7112.9</v>
      </c>
      <c r="T96" s="22"/>
      <c r="U96" s="22"/>
      <c r="V96" s="22"/>
      <c r="W96" s="22">
        <v>0</v>
      </c>
      <c r="X96" s="22"/>
      <c r="Y96" s="26">
        <v>7500</v>
      </c>
      <c r="AA96" s="26">
        <v>5000</v>
      </c>
      <c r="AC96" s="21">
        <f t="shared" si="105"/>
        <v>9028.1759999999995</v>
      </c>
      <c r="AD96" s="21">
        <f t="shared" si="106"/>
        <v>18624.55</v>
      </c>
      <c r="AE96" s="21">
        <f t="shared" si="107"/>
        <v>6303.43</v>
      </c>
      <c r="AG96" s="21">
        <f t="shared" si="108"/>
        <v>-9028.1759999999995</v>
      </c>
      <c r="AH96" s="21">
        <f t="shared" si="109"/>
        <v>-18624.55</v>
      </c>
      <c r="AI96" s="21">
        <f t="shared" si="110"/>
        <v>-6303.43</v>
      </c>
      <c r="AK96" s="21">
        <f t="shared" si="111"/>
        <v>-1528.1759999999995</v>
      </c>
      <c r="AL96" s="21">
        <f t="shared" si="112"/>
        <v>-11124.55</v>
      </c>
      <c r="AM96" s="21">
        <f t="shared" si="113"/>
        <v>1196.5699999999997</v>
      </c>
    </row>
    <row r="97" spans="1:39" s="25" customFormat="1" x14ac:dyDescent="0.2">
      <c r="A97" s="19"/>
      <c r="B97" s="19"/>
      <c r="C97" s="19"/>
      <c r="D97" s="19"/>
      <c r="E97" s="19"/>
      <c r="F97" s="19"/>
      <c r="G97" s="24" t="s">
        <v>112</v>
      </c>
      <c r="H97" s="21"/>
      <c r="I97" s="21">
        <v>3997</v>
      </c>
      <c r="J97" s="21"/>
      <c r="K97" s="21">
        <v>5190</v>
      </c>
      <c r="L97" s="21"/>
      <c r="M97" s="21">
        <v>6583</v>
      </c>
      <c r="N97" s="21"/>
      <c r="O97" s="21">
        <v>2189.41</v>
      </c>
      <c r="P97" s="21"/>
      <c r="Q97" s="21">
        <v>1305</v>
      </c>
      <c r="R97" s="21"/>
      <c r="S97" s="22">
        <v>2799.97</v>
      </c>
      <c r="T97" s="22"/>
      <c r="U97" s="22"/>
      <c r="V97" s="22"/>
      <c r="W97" s="22">
        <v>1195</v>
      </c>
      <c r="X97" s="22"/>
      <c r="Y97" s="26">
        <v>5000</v>
      </c>
      <c r="AA97" s="26">
        <v>2000</v>
      </c>
      <c r="AC97" s="21">
        <f t="shared" si="105"/>
        <v>3613.4760000000001</v>
      </c>
      <c r="AD97" s="21">
        <f t="shared" si="106"/>
        <v>6583</v>
      </c>
      <c r="AE97" s="21">
        <f t="shared" si="107"/>
        <v>1305</v>
      </c>
      <c r="AG97" s="21">
        <f t="shared" si="108"/>
        <v>-2418.4760000000001</v>
      </c>
      <c r="AH97" s="21">
        <f t="shared" si="109"/>
        <v>-5388</v>
      </c>
      <c r="AI97" s="21">
        <f t="shared" si="110"/>
        <v>-110</v>
      </c>
      <c r="AK97" s="21">
        <f t="shared" si="111"/>
        <v>1386.5239999999999</v>
      </c>
      <c r="AL97" s="21">
        <f t="shared" si="112"/>
        <v>-1583</v>
      </c>
      <c r="AM97" s="21">
        <f t="shared" si="113"/>
        <v>3695</v>
      </c>
    </row>
    <row r="98" spans="1:39" s="25" customFormat="1" x14ac:dyDescent="0.2">
      <c r="A98" s="19"/>
      <c r="B98" s="19"/>
      <c r="C98" s="19"/>
      <c r="D98" s="19"/>
      <c r="E98" s="19"/>
      <c r="F98" s="19"/>
      <c r="G98" s="19" t="s">
        <v>113</v>
      </c>
      <c r="H98" s="21"/>
      <c r="I98" s="21">
        <v>81313</v>
      </c>
      <c r="J98" s="21"/>
      <c r="K98" s="21">
        <v>106812</v>
      </c>
      <c r="L98" s="21"/>
      <c r="M98" s="21">
        <v>69269</v>
      </c>
      <c r="N98" s="21"/>
      <c r="O98" s="21">
        <v>36606.35</v>
      </c>
      <c r="P98" s="21"/>
      <c r="Q98" s="21">
        <v>93775.72</v>
      </c>
      <c r="R98" s="21"/>
      <c r="S98" s="22">
        <v>67444.77</v>
      </c>
      <c r="T98" s="22"/>
      <c r="U98" s="22"/>
      <c r="V98" s="22"/>
      <c r="W98" s="22">
        <v>33060.69</v>
      </c>
      <c r="X98" s="22"/>
      <c r="Y98" s="26">
        <v>63000</v>
      </c>
      <c r="AA98" s="26">
        <v>60000</v>
      </c>
      <c r="AC98" s="21">
        <f t="shared" si="105"/>
        <v>74781.567999999999</v>
      </c>
      <c r="AD98" s="21">
        <f t="shared" si="106"/>
        <v>106812</v>
      </c>
      <c r="AE98" s="21">
        <f t="shared" si="107"/>
        <v>36606.35</v>
      </c>
      <c r="AG98" s="21">
        <f t="shared" si="108"/>
        <v>-41720.877999999997</v>
      </c>
      <c r="AH98" s="21">
        <f t="shared" si="109"/>
        <v>-73751.31</v>
      </c>
      <c r="AI98" s="21">
        <f t="shared" si="110"/>
        <v>-3545.6599999999962</v>
      </c>
      <c r="AK98" s="21">
        <f t="shared" si="111"/>
        <v>-11781.567999999999</v>
      </c>
      <c r="AL98" s="21">
        <f t="shared" si="112"/>
        <v>-43812</v>
      </c>
      <c r="AM98" s="21">
        <f t="shared" si="113"/>
        <v>26393.65</v>
      </c>
    </row>
    <row r="99" spans="1:39" s="25" customFormat="1" x14ac:dyDescent="0.2">
      <c r="A99" s="19"/>
      <c r="B99" s="19"/>
      <c r="C99" s="19"/>
      <c r="D99" s="19"/>
      <c r="E99" s="19"/>
      <c r="F99" s="19"/>
      <c r="G99" s="19" t="s">
        <v>114</v>
      </c>
      <c r="H99" s="21"/>
      <c r="I99" s="21">
        <v>135000</v>
      </c>
      <c r="J99" s="21"/>
      <c r="K99" s="21">
        <v>77794</v>
      </c>
      <c r="L99" s="21"/>
      <c r="M99" s="21">
        <v>32035</v>
      </c>
      <c r="N99" s="21"/>
      <c r="O99" s="21">
        <v>471851.13</v>
      </c>
      <c r="P99" s="21"/>
      <c r="Q99" s="21">
        <v>11983.9</v>
      </c>
      <c r="R99" s="21"/>
      <c r="S99" s="22">
        <v>236965.31</v>
      </c>
      <c r="T99" s="22"/>
      <c r="U99" s="22"/>
      <c r="V99" s="22"/>
      <c r="W99" s="22">
        <v>2305.5</v>
      </c>
      <c r="X99" s="22"/>
      <c r="Y99" s="26">
        <v>42000</v>
      </c>
      <c r="AA99" s="26">
        <v>20000</v>
      </c>
      <c r="AC99" s="21">
        <f t="shared" si="105"/>
        <v>166125.86800000002</v>
      </c>
      <c r="AD99" s="21">
        <f t="shared" si="106"/>
        <v>471851.13</v>
      </c>
      <c r="AE99" s="21">
        <f t="shared" si="107"/>
        <v>11983.9</v>
      </c>
      <c r="AG99" s="21">
        <f t="shared" si="108"/>
        <v>-163820.36800000002</v>
      </c>
      <c r="AH99" s="21">
        <f t="shared" si="109"/>
        <v>-469545.63</v>
      </c>
      <c r="AI99" s="21">
        <f t="shared" si="110"/>
        <v>-9678.4</v>
      </c>
      <c r="AK99" s="21">
        <f t="shared" si="111"/>
        <v>-124125.86800000002</v>
      </c>
      <c r="AL99" s="21">
        <f t="shared" si="112"/>
        <v>-429851.13</v>
      </c>
      <c r="AM99" s="21">
        <f t="shared" si="113"/>
        <v>30016.1</v>
      </c>
    </row>
    <row r="100" spans="1:39" s="25" customFormat="1" x14ac:dyDescent="0.2">
      <c r="A100" s="19"/>
      <c r="B100" s="19"/>
      <c r="C100" s="19"/>
      <c r="D100" s="19"/>
      <c r="E100" s="19"/>
      <c r="F100" s="19"/>
      <c r="G100" s="19" t="s">
        <v>115</v>
      </c>
      <c r="H100" s="21"/>
      <c r="I100" s="21">
        <v>15750</v>
      </c>
      <c r="J100" s="21"/>
      <c r="K100" s="21">
        <v>16550</v>
      </c>
      <c r="L100" s="21"/>
      <c r="M100" s="21">
        <v>17000</v>
      </c>
      <c r="N100" s="21"/>
      <c r="O100" s="21">
        <v>17750</v>
      </c>
      <c r="P100" s="21"/>
      <c r="Q100" s="21">
        <v>19762.5</v>
      </c>
      <c r="R100" s="21"/>
      <c r="S100" s="22">
        <v>20060</v>
      </c>
      <c r="T100" s="22"/>
      <c r="U100" s="22"/>
      <c r="V100" s="22"/>
      <c r="W100" s="22">
        <v>21000</v>
      </c>
      <c r="X100" s="22"/>
      <c r="Y100" s="26">
        <v>20750</v>
      </c>
      <c r="AA100" s="26">
        <v>22000</v>
      </c>
      <c r="AC100" s="21">
        <f t="shared" si="105"/>
        <v>18224.5</v>
      </c>
      <c r="AD100" s="21">
        <f t="shared" si="106"/>
        <v>20060</v>
      </c>
      <c r="AE100" s="21">
        <f t="shared" si="107"/>
        <v>16550</v>
      </c>
      <c r="AG100" s="21">
        <f t="shared" si="108"/>
        <v>2775.5</v>
      </c>
      <c r="AH100" s="21">
        <f t="shared" si="109"/>
        <v>940</v>
      </c>
      <c r="AI100" s="21">
        <f t="shared" si="110"/>
        <v>4450</v>
      </c>
      <c r="AK100" s="21">
        <f t="shared" si="111"/>
        <v>2525.5</v>
      </c>
      <c r="AL100" s="21">
        <f t="shared" si="112"/>
        <v>690</v>
      </c>
      <c r="AM100" s="21">
        <f t="shared" si="113"/>
        <v>4200</v>
      </c>
    </row>
    <row r="101" spans="1:39" s="25" customFormat="1" x14ac:dyDescent="0.2">
      <c r="A101" s="19"/>
      <c r="B101" s="19"/>
      <c r="C101" s="19"/>
      <c r="D101" s="19"/>
      <c r="E101" s="19"/>
      <c r="F101" s="19"/>
      <c r="G101" s="19" t="s">
        <v>116</v>
      </c>
      <c r="H101" s="21"/>
      <c r="I101" s="21"/>
      <c r="J101" s="21"/>
      <c r="K101" s="21">
        <v>1462</v>
      </c>
      <c r="L101" s="21"/>
      <c r="M101" s="21">
        <v>853</v>
      </c>
      <c r="N101" s="21"/>
      <c r="O101" s="21">
        <v>22.68</v>
      </c>
      <c r="P101" s="21"/>
      <c r="Q101" s="21">
        <v>2643</v>
      </c>
      <c r="R101" s="21"/>
      <c r="S101" s="22">
        <v>1600</v>
      </c>
      <c r="T101" s="22"/>
      <c r="U101" s="22"/>
      <c r="V101" s="22"/>
      <c r="W101" s="22">
        <v>0</v>
      </c>
      <c r="X101" s="22"/>
      <c r="Y101" s="26">
        <v>2000</v>
      </c>
      <c r="AA101" s="26">
        <v>2000</v>
      </c>
      <c r="AC101" s="21">
        <f t="shared" si="105"/>
        <v>1316.136</v>
      </c>
      <c r="AD101" s="21">
        <f t="shared" si="106"/>
        <v>2643</v>
      </c>
      <c r="AE101" s="21">
        <f t="shared" si="107"/>
        <v>22.68</v>
      </c>
      <c r="AG101" s="21">
        <f t="shared" si="108"/>
        <v>-1316.136</v>
      </c>
      <c r="AH101" s="21">
        <f t="shared" si="109"/>
        <v>-2643</v>
      </c>
      <c r="AI101" s="21">
        <f t="shared" si="110"/>
        <v>-22.68</v>
      </c>
      <c r="AK101" s="21">
        <f t="shared" si="111"/>
        <v>683.86400000000003</v>
      </c>
      <c r="AL101" s="21">
        <f t="shared" si="112"/>
        <v>-643</v>
      </c>
      <c r="AM101" s="21">
        <f t="shared" si="113"/>
        <v>1977.32</v>
      </c>
    </row>
    <row r="102" spans="1:39" s="25" customFormat="1" x14ac:dyDescent="0.2">
      <c r="A102" s="19"/>
      <c r="B102" s="19"/>
      <c r="C102" s="19"/>
      <c r="D102" s="19"/>
      <c r="E102" s="19"/>
      <c r="F102" s="19"/>
      <c r="G102" s="24" t="s">
        <v>117</v>
      </c>
      <c r="H102" s="21"/>
      <c r="I102" s="21">
        <v>8367</v>
      </c>
      <c r="J102" s="21"/>
      <c r="K102" s="21">
        <v>21875</v>
      </c>
      <c r="L102" s="21"/>
      <c r="M102" s="21">
        <v>8361</v>
      </c>
      <c r="N102" s="21"/>
      <c r="O102" s="21">
        <v>934.71</v>
      </c>
      <c r="P102" s="21"/>
      <c r="Q102" s="21">
        <v>3155.88</v>
      </c>
      <c r="R102" s="21"/>
      <c r="S102" s="22">
        <v>3125.2</v>
      </c>
      <c r="T102" s="22"/>
      <c r="U102" s="22"/>
      <c r="V102" s="22"/>
      <c r="W102" s="22">
        <v>493.92</v>
      </c>
      <c r="X102" s="22"/>
      <c r="Y102" s="26">
        <v>3000</v>
      </c>
      <c r="AA102" s="26">
        <v>1500</v>
      </c>
      <c r="AC102" s="21">
        <f t="shared" si="105"/>
        <v>7490.3579999999984</v>
      </c>
      <c r="AD102" s="21">
        <f t="shared" si="106"/>
        <v>21875</v>
      </c>
      <c r="AE102" s="21">
        <f t="shared" si="107"/>
        <v>934.71</v>
      </c>
      <c r="AG102" s="21">
        <f t="shared" si="108"/>
        <v>-6996.4379999999983</v>
      </c>
      <c r="AH102" s="21">
        <f t="shared" si="109"/>
        <v>-21381.08</v>
      </c>
      <c r="AI102" s="21">
        <f t="shared" si="110"/>
        <v>-440.79</v>
      </c>
      <c r="AK102" s="21">
        <f t="shared" si="111"/>
        <v>-4490.3579999999984</v>
      </c>
      <c r="AL102" s="21">
        <f t="shared" si="112"/>
        <v>-18875</v>
      </c>
      <c r="AM102" s="21">
        <f t="shared" si="113"/>
        <v>2065.29</v>
      </c>
    </row>
    <row r="103" spans="1:39" s="25" customFormat="1" x14ac:dyDescent="0.2">
      <c r="A103" s="19"/>
      <c r="B103" s="19"/>
      <c r="C103" s="19"/>
      <c r="D103" s="19"/>
      <c r="E103" s="19"/>
      <c r="F103" s="19"/>
      <c r="G103" s="19" t="s">
        <v>118</v>
      </c>
      <c r="H103" s="21"/>
      <c r="I103" s="21">
        <v>2047</v>
      </c>
      <c r="J103" s="21"/>
      <c r="K103" s="21">
        <v>2616</v>
      </c>
      <c r="L103" s="21"/>
      <c r="M103" s="21">
        <v>4557</v>
      </c>
      <c r="N103" s="21"/>
      <c r="O103" s="21">
        <v>11738.48</v>
      </c>
      <c r="P103" s="21"/>
      <c r="Q103" s="21">
        <v>43850.73</v>
      </c>
      <c r="R103" s="21"/>
      <c r="S103" s="22">
        <v>42407.91</v>
      </c>
      <c r="T103" s="22"/>
      <c r="U103" s="22"/>
      <c r="V103" s="22"/>
      <c r="W103" s="22">
        <v>59069.11</v>
      </c>
      <c r="X103" s="22"/>
      <c r="Y103" s="26">
        <v>60000</v>
      </c>
      <c r="AA103" s="26">
        <v>70000</v>
      </c>
      <c r="AC103" s="21">
        <f t="shared" si="105"/>
        <v>21034.024000000001</v>
      </c>
      <c r="AD103" s="21">
        <f t="shared" si="106"/>
        <v>43850.73</v>
      </c>
      <c r="AE103" s="21">
        <f t="shared" si="107"/>
        <v>2616</v>
      </c>
      <c r="AG103" s="21">
        <f t="shared" si="108"/>
        <v>38035.085999999996</v>
      </c>
      <c r="AH103" s="21">
        <f t="shared" si="109"/>
        <v>15218.379999999997</v>
      </c>
      <c r="AI103" s="21">
        <f t="shared" si="110"/>
        <v>56453.11</v>
      </c>
      <c r="AK103" s="21">
        <f t="shared" si="111"/>
        <v>38965.975999999995</v>
      </c>
      <c r="AL103" s="21">
        <f t="shared" si="112"/>
        <v>16149.269999999997</v>
      </c>
      <c r="AM103" s="21">
        <f t="shared" si="113"/>
        <v>57384</v>
      </c>
    </row>
    <row r="104" spans="1:39" s="25" customFormat="1" x14ac:dyDescent="0.2">
      <c r="A104" s="19"/>
      <c r="B104" s="19"/>
      <c r="C104" s="19"/>
      <c r="D104" s="19"/>
      <c r="E104" s="19"/>
      <c r="F104" s="19"/>
      <c r="G104" s="19" t="s">
        <v>119</v>
      </c>
      <c r="H104" s="21"/>
      <c r="I104" s="21">
        <v>5359</v>
      </c>
      <c r="J104" s="21"/>
      <c r="K104" s="21">
        <v>1631</v>
      </c>
      <c r="L104" s="21"/>
      <c r="M104" s="21">
        <v>3681</v>
      </c>
      <c r="N104" s="21"/>
      <c r="O104" s="21">
        <v>0</v>
      </c>
      <c r="P104" s="21"/>
      <c r="Q104" s="21">
        <v>0</v>
      </c>
      <c r="R104" s="21"/>
      <c r="S104" s="22">
        <v>57693.03</v>
      </c>
      <c r="T104" s="22"/>
      <c r="U104" s="22"/>
      <c r="V104" s="22"/>
      <c r="W104" s="22">
        <v>82175.72</v>
      </c>
      <c r="X104" s="22"/>
      <c r="Y104" s="26">
        <v>0</v>
      </c>
      <c r="AA104" s="26">
        <v>0</v>
      </c>
      <c r="AC104" s="21">
        <f t="shared" si="105"/>
        <v>12601.005999999999</v>
      </c>
      <c r="AD104" s="21">
        <f t="shared" si="106"/>
        <v>57693.03</v>
      </c>
      <c r="AE104" s="21">
        <f t="shared" si="107"/>
        <v>0</v>
      </c>
      <c r="AG104" s="21">
        <f t="shared" si="108"/>
        <v>69574.714000000007</v>
      </c>
      <c r="AH104" s="21">
        <f t="shared" si="109"/>
        <v>24482.690000000002</v>
      </c>
      <c r="AI104" s="21">
        <f t="shared" si="110"/>
        <v>82175.72</v>
      </c>
      <c r="AK104" s="21">
        <f t="shared" si="111"/>
        <v>-12601.005999999999</v>
      </c>
      <c r="AL104" s="21">
        <f t="shared" si="112"/>
        <v>-57693.03</v>
      </c>
      <c r="AM104" s="21">
        <f t="shared" si="113"/>
        <v>0</v>
      </c>
    </row>
    <row r="105" spans="1:39" s="25" customFormat="1" x14ac:dyDescent="0.2">
      <c r="A105" s="19"/>
      <c r="B105" s="19"/>
      <c r="C105" s="19"/>
      <c r="D105" s="19"/>
      <c r="E105" s="19"/>
      <c r="F105" s="19"/>
      <c r="G105" s="19" t="s">
        <v>120</v>
      </c>
      <c r="H105" s="21"/>
      <c r="I105" s="21">
        <v>17000</v>
      </c>
      <c r="J105" s="21"/>
      <c r="K105" s="21">
        <v>19852</v>
      </c>
      <c r="L105" s="21"/>
      <c r="M105" s="21">
        <v>23213</v>
      </c>
      <c r="N105" s="21"/>
      <c r="O105" s="21">
        <v>0</v>
      </c>
      <c r="P105" s="21"/>
      <c r="Q105" s="21">
        <v>10450</v>
      </c>
      <c r="R105" s="21"/>
      <c r="S105" s="22">
        <v>10350</v>
      </c>
      <c r="T105" s="22"/>
      <c r="U105" s="22"/>
      <c r="V105" s="22"/>
      <c r="W105" s="22">
        <v>0</v>
      </c>
      <c r="X105" s="22"/>
      <c r="Y105" s="26">
        <v>12000</v>
      </c>
      <c r="AA105" s="26">
        <v>12000</v>
      </c>
      <c r="AC105" s="21">
        <f t="shared" si="105"/>
        <v>12773</v>
      </c>
      <c r="AD105" s="21">
        <f t="shared" si="106"/>
        <v>23213</v>
      </c>
      <c r="AE105" s="21">
        <f t="shared" si="107"/>
        <v>0</v>
      </c>
      <c r="AG105" s="21">
        <f t="shared" si="108"/>
        <v>-12773</v>
      </c>
      <c r="AH105" s="21">
        <f t="shared" si="109"/>
        <v>-23213</v>
      </c>
      <c r="AI105" s="21">
        <f t="shared" si="110"/>
        <v>0</v>
      </c>
      <c r="AK105" s="21">
        <f t="shared" si="111"/>
        <v>-773</v>
      </c>
      <c r="AL105" s="21">
        <f t="shared" si="112"/>
        <v>-11213</v>
      </c>
      <c r="AM105" s="21">
        <f t="shared" si="113"/>
        <v>12000</v>
      </c>
    </row>
    <row r="106" spans="1:39" s="25" customFormat="1" x14ac:dyDescent="0.2">
      <c r="A106" s="19"/>
      <c r="B106" s="19"/>
      <c r="C106" s="19"/>
      <c r="D106" s="19"/>
      <c r="E106" s="19"/>
      <c r="F106" s="19"/>
      <c r="G106" s="19" t="s">
        <v>121</v>
      </c>
      <c r="H106" s="21"/>
      <c r="I106" s="21"/>
      <c r="J106" s="21"/>
      <c r="K106" s="21"/>
      <c r="L106" s="21"/>
      <c r="M106" s="21"/>
      <c r="N106" s="21"/>
      <c r="O106" s="21"/>
      <c r="P106" s="21"/>
      <c r="Q106" s="21">
        <v>4985</v>
      </c>
      <c r="R106" s="21"/>
      <c r="S106" s="22">
        <v>5285</v>
      </c>
      <c r="T106" s="22"/>
      <c r="U106" s="22"/>
      <c r="V106" s="22"/>
      <c r="W106" s="22">
        <v>5787.94</v>
      </c>
      <c r="X106" s="22"/>
      <c r="Y106" s="26">
        <v>6285</v>
      </c>
      <c r="AA106" s="26">
        <v>6300</v>
      </c>
      <c r="AC106" s="21">
        <f t="shared" si="105"/>
        <v>5135</v>
      </c>
      <c r="AD106" s="21">
        <f t="shared" si="106"/>
        <v>5285</v>
      </c>
      <c r="AE106" s="21">
        <f t="shared" si="107"/>
        <v>4985</v>
      </c>
      <c r="AG106" s="21">
        <f t="shared" si="108"/>
        <v>652.9399999999996</v>
      </c>
      <c r="AH106" s="21">
        <f t="shared" si="109"/>
        <v>502.9399999999996</v>
      </c>
      <c r="AI106" s="21">
        <f t="shared" si="110"/>
        <v>802.9399999999996</v>
      </c>
      <c r="AK106" s="21">
        <f t="shared" si="111"/>
        <v>1150</v>
      </c>
      <c r="AL106" s="21">
        <f t="shared" si="112"/>
        <v>1000</v>
      </c>
      <c r="AM106" s="21">
        <f t="shared" si="113"/>
        <v>1300</v>
      </c>
    </row>
    <row r="107" spans="1:39" s="25" customFormat="1" x14ac:dyDescent="0.2">
      <c r="A107" s="19"/>
      <c r="B107" s="19"/>
      <c r="C107" s="19"/>
      <c r="D107" s="19"/>
      <c r="E107" s="19"/>
      <c r="F107" s="19"/>
      <c r="G107" s="19" t="s">
        <v>122</v>
      </c>
      <c r="H107" s="21"/>
      <c r="I107" s="21">
        <f>2943+697</f>
        <v>3640</v>
      </c>
      <c r="J107" s="21"/>
      <c r="K107" s="21">
        <v>3829</v>
      </c>
      <c r="L107" s="21"/>
      <c r="M107" s="21">
        <v>4998</v>
      </c>
      <c r="N107" s="21"/>
      <c r="O107" s="21">
        <v>8560.18</v>
      </c>
      <c r="P107" s="21"/>
      <c r="Q107" s="21">
        <v>4579.5</v>
      </c>
      <c r="R107" s="21"/>
      <c r="S107" s="22">
        <v>10542.4</v>
      </c>
      <c r="T107" s="22"/>
      <c r="U107" s="22"/>
      <c r="V107" s="22"/>
      <c r="W107" s="22">
        <v>4544.2700000000004</v>
      </c>
      <c r="X107" s="22"/>
      <c r="Y107" s="26">
        <v>6000</v>
      </c>
      <c r="AA107" s="26">
        <v>6000</v>
      </c>
      <c r="AC107" s="21">
        <f t="shared" si="105"/>
        <v>6501.8160000000007</v>
      </c>
      <c r="AD107" s="21">
        <f t="shared" si="106"/>
        <v>10542.4</v>
      </c>
      <c r="AE107" s="21">
        <f t="shared" si="107"/>
        <v>3829</v>
      </c>
      <c r="AG107" s="21">
        <f t="shared" si="108"/>
        <v>-1957.5460000000003</v>
      </c>
      <c r="AH107" s="21">
        <f t="shared" si="109"/>
        <v>-5998.1299999999992</v>
      </c>
      <c r="AI107" s="21">
        <f t="shared" si="110"/>
        <v>715.27000000000044</v>
      </c>
      <c r="AK107" s="21">
        <f t="shared" si="111"/>
        <v>-501.81600000000071</v>
      </c>
      <c r="AL107" s="21">
        <f t="shared" si="112"/>
        <v>-4542.3999999999996</v>
      </c>
      <c r="AM107" s="21">
        <f t="shared" si="113"/>
        <v>2171</v>
      </c>
    </row>
    <row r="108" spans="1:39" s="25" customFormat="1" x14ac:dyDescent="0.2">
      <c r="A108" s="19"/>
      <c r="B108" s="19"/>
      <c r="C108" s="19"/>
      <c r="D108" s="19"/>
      <c r="E108" s="19"/>
      <c r="F108" s="19"/>
      <c r="G108" s="19" t="s">
        <v>123</v>
      </c>
      <c r="H108" s="21"/>
      <c r="I108" s="21">
        <v>31888</v>
      </c>
      <c r="J108" s="21"/>
      <c r="K108" s="21">
        <v>9990</v>
      </c>
      <c r="L108" s="21"/>
      <c r="M108" s="21">
        <v>45969</v>
      </c>
      <c r="N108" s="21"/>
      <c r="O108" s="21">
        <v>0</v>
      </c>
      <c r="P108" s="21"/>
      <c r="Q108" s="21">
        <v>32123.93</v>
      </c>
      <c r="R108" s="21"/>
      <c r="S108" s="29">
        <v>1675</v>
      </c>
      <c r="T108" s="22"/>
      <c r="U108" s="22"/>
      <c r="V108" s="22"/>
      <c r="W108" s="28">
        <v>18357.5</v>
      </c>
      <c r="X108" s="22"/>
      <c r="Y108" s="26">
        <v>0</v>
      </c>
      <c r="AA108" s="26">
        <v>0</v>
      </c>
      <c r="AC108" s="21">
        <f t="shared" si="105"/>
        <v>17951.585999999999</v>
      </c>
      <c r="AD108" s="21">
        <f t="shared" si="106"/>
        <v>45969</v>
      </c>
      <c r="AE108" s="21">
        <f t="shared" si="107"/>
        <v>0</v>
      </c>
      <c r="AG108" s="21">
        <f t="shared" si="108"/>
        <v>405.91400000000067</v>
      </c>
      <c r="AH108" s="21">
        <f t="shared" si="109"/>
        <v>-27611.5</v>
      </c>
      <c r="AI108" s="21">
        <f t="shared" si="110"/>
        <v>18357.5</v>
      </c>
      <c r="AK108" s="21">
        <f t="shared" si="111"/>
        <v>-17951.585999999999</v>
      </c>
      <c r="AL108" s="21">
        <f t="shared" si="112"/>
        <v>-45969</v>
      </c>
      <c r="AM108" s="21">
        <f t="shared" si="113"/>
        <v>0</v>
      </c>
    </row>
    <row r="109" spans="1:39" s="25" customFormat="1" x14ac:dyDescent="0.2">
      <c r="A109" s="19"/>
      <c r="B109" s="19"/>
      <c r="C109" s="19"/>
      <c r="D109" s="19"/>
      <c r="E109" s="19"/>
      <c r="F109" s="19"/>
      <c r="G109" s="41" t="s">
        <v>124</v>
      </c>
      <c r="H109" s="21"/>
      <c r="I109" s="21"/>
      <c r="J109" s="21"/>
      <c r="K109" s="21"/>
      <c r="L109" s="21"/>
      <c r="M109" s="21"/>
      <c r="N109" s="21"/>
      <c r="O109" s="21"/>
      <c r="P109" s="21"/>
      <c r="Q109" s="21"/>
      <c r="R109" s="21"/>
      <c r="S109" s="42">
        <v>44205</v>
      </c>
      <c r="T109" s="22"/>
      <c r="U109" s="22"/>
      <c r="V109" s="22"/>
      <c r="W109" s="26">
        <v>22915</v>
      </c>
      <c r="X109" s="22"/>
      <c r="Y109" s="26">
        <f>Y28*0.2</f>
        <v>66000</v>
      </c>
      <c r="AA109" s="26">
        <f>+AA28*0.2</f>
        <v>60000</v>
      </c>
      <c r="AC109" s="21"/>
      <c r="AD109" s="21">
        <f t="shared" si="106"/>
        <v>44205</v>
      </c>
      <c r="AE109" s="21">
        <f t="shared" si="107"/>
        <v>44205</v>
      </c>
      <c r="AG109" s="21">
        <f t="shared" si="108"/>
        <v>22915</v>
      </c>
      <c r="AH109" s="21">
        <f t="shared" si="109"/>
        <v>-21290</v>
      </c>
      <c r="AI109" s="21">
        <f t="shared" si="110"/>
        <v>-21290</v>
      </c>
      <c r="AK109" s="21"/>
      <c r="AL109" s="21">
        <f t="shared" si="112"/>
        <v>21795</v>
      </c>
      <c r="AM109" s="21">
        <f t="shared" si="113"/>
        <v>21795</v>
      </c>
    </row>
    <row r="110" spans="1:39" s="25" customFormat="1" x14ac:dyDescent="0.2">
      <c r="A110" s="19"/>
      <c r="B110" s="19"/>
      <c r="C110" s="19"/>
      <c r="D110" s="19"/>
      <c r="E110" s="19"/>
      <c r="F110" s="19"/>
      <c r="G110" s="41" t="s">
        <v>125</v>
      </c>
      <c r="H110" s="21"/>
      <c r="I110" s="21"/>
      <c r="J110" s="21"/>
      <c r="K110" s="21"/>
      <c r="L110" s="21"/>
      <c r="M110" s="21"/>
      <c r="N110" s="21"/>
      <c r="O110" s="21"/>
      <c r="P110" s="21"/>
      <c r="Q110" s="21"/>
      <c r="R110" s="21"/>
      <c r="S110" s="42">
        <v>16097</v>
      </c>
      <c r="T110" s="22"/>
      <c r="U110" s="22"/>
      <c r="V110" s="22"/>
      <c r="W110" s="26">
        <v>20492.96</v>
      </c>
      <c r="X110" s="22"/>
      <c r="Y110" s="26">
        <v>18900</v>
      </c>
      <c r="AA110" s="26">
        <f>+AA7*0.03</f>
        <v>22500</v>
      </c>
      <c r="AC110" s="21"/>
      <c r="AD110" s="21">
        <f t="shared" si="106"/>
        <v>16097</v>
      </c>
      <c r="AE110" s="21">
        <f t="shared" si="107"/>
        <v>16097</v>
      </c>
      <c r="AG110" s="21">
        <f t="shared" si="108"/>
        <v>20492.96</v>
      </c>
      <c r="AH110" s="21">
        <f t="shared" si="109"/>
        <v>4395.9599999999991</v>
      </c>
      <c r="AI110" s="21">
        <f t="shared" si="110"/>
        <v>4395.9599999999991</v>
      </c>
      <c r="AK110" s="21"/>
      <c r="AL110" s="21">
        <f t="shared" si="112"/>
        <v>2803</v>
      </c>
      <c r="AM110" s="21">
        <f t="shared" si="113"/>
        <v>2803</v>
      </c>
    </row>
    <row r="111" spans="1:39" s="25" customFormat="1" x14ac:dyDescent="0.2">
      <c r="A111" s="19"/>
      <c r="B111" s="19"/>
      <c r="C111" s="19"/>
      <c r="D111" s="19"/>
      <c r="E111" s="19"/>
      <c r="F111" s="19"/>
      <c r="G111" s="41" t="s">
        <v>126</v>
      </c>
      <c r="H111" s="21"/>
      <c r="I111" s="21"/>
      <c r="J111" s="21"/>
      <c r="K111" s="21"/>
      <c r="L111" s="21"/>
      <c r="M111" s="21"/>
      <c r="N111" s="21"/>
      <c r="O111" s="21"/>
      <c r="P111" s="21"/>
      <c r="Q111" s="21"/>
      <c r="R111" s="21"/>
      <c r="S111" s="42">
        <v>26828</v>
      </c>
      <c r="T111" s="22"/>
      <c r="U111" s="22"/>
      <c r="V111" s="22"/>
      <c r="W111" s="26">
        <v>34155</v>
      </c>
      <c r="X111" s="22"/>
      <c r="Y111" s="26">
        <f>Y7*0.05</f>
        <v>30250</v>
      </c>
      <c r="AA111" s="26">
        <f>+AA7*0.05</f>
        <v>37500</v>
      </c>
      <c r="AC111" s="21"/>
      <c r="AD111" s="21">
        <f t="shared" si="106"/>
        <v>26828</v>
      </c>
      <c r="AE111" s="21">
        <f t="shared" si="107"/>
        <v>26828</v>
      </c>
      <c r="AG111" s="21">
        <f t="shared" si="108"/>
        <v>34155</v>
      </c>
      <c r="AH111" s="21">
        <f t="shared" si="109"/>
        <v>7327</v>
      </c>
      <c r="AI111" s="21">
        <f t="shared" si="110"/>
        <v>7327</v>
      </c>
      <c r="AK111" s="21"/>
      <c r="AL111" s="21">
        <f t="shared" si="112"/>
        <v>3422</v>
      </c>
      <c r="AM111" s="21">
        <f t="shared" si="113"/>
        <v>3422</v>
      </c>
    </row>
    <row r="112" spans="1:39" s="25" customFormat="1" x14ac:dyDescent="0.2">
      <c r="A112" s="19"/>
      <c r="B112" s="19"/>
      <c r="C112" s="19"/>
      <c r="D112" s="19"/>
      <c r="E112" s="19"/>
      <c r="F112" s="19"/>
      <c r="G112" s="41" t="s">
        <v>127</v>
      </c>
      <c r="H112" s="21"/>
      <c r="I112" s="21"/>
      <c r="J112" s="21"/>
      <c r="K112" s="21"/>
      <c r="L112" s="21"/>
      <c r="M112" s="21"/>
      <c r="N112" s="21"/>
      <c r="O112" s="21"/>
      <c r="P112" s="21"/>
      <c r="Q112" s="21"/>
      <c r="R112" s="21"/>
      <c r="S112" s="42">
        <v>32920</v>
      </c>
      <c r="T112" s="22"/>
      <c r="U112" s="22"/>
      <c r="V112" s="22"/>
      <c r="W112" s="26">
        <v>34960</v>
      </c>
      <c r="X112" s="22"/>
      <c r="Y112" s="26">
        <f>(Y23+Y24)*0.05</f>
        <v>37750</v>
      </c>
      <c r="AA112" s="26">
        <f>+(AA23+AA24)*0.05</f>
        <v>37750</v>
      </c>
      <c r="AC112" s="21"/>
      <c r="AD112" s="21">
        <f t="shared" si="106"/>
        <v>32920</v>
      </c>
      <c r="AE112" s="21">
        <f t="shared" si="107"/>
        <v>32920</v>
      </c>
      <c r="AG112" s="21"/>
      <c r="AH112" s="21"/>
      <c r="AI112" s="21"/>
      <c r="AK112" s="21"/>
      <c r="AL112" s="21">
        <f t="shared" si="112"/>
        <v>4830</v>
      </c>
      <c r="AM112" s="21">
        <f t="shared" si="113"/>
        <v>4830</v>
      </c>
    </row>
    <row r="113" spans="1:39" s="25" customFormat="1" ht="12" thickBot="1" x14ac:dyDescent="0.25">
      <c r="A113" s="19"/>
      <c r="B113" s="19"/>
      <c r="C113" s="19"/>
      <c r="D113" s="19"/>
      <c r="E113" s="19"/>
      <c r="F113" s="19"/>
      <c r="G113" s="19" t="s">
        <v>128</v>
      </c>
      <c r="H113" s="21"/>
      <c r="I113" s="33"/>
      <c r="J113" s="21"/>
      <c r="K113" s="33"/>
      <c r="L113" s="21"/>
      <c r="M113" s="33"/>
      <c r="N113" s="21"/>
      <c r="O113" s="33"/>
      <c r="P113" s="33"/>
      <c r="Q113" s="33"/>
      <c r="R113" s="33"/>
      <c r="S113" s="34"/>
      <c r="T113" s="28"/>
      <c r="U113" s="28"/>
      <c r="V113" s="22"/>
      <c r="W113" s="34"/>
      <c r="X113" s="22"/>
      <c r="Y113" s="35"/>
      <c r="AA113" s="35"/>
      <c r="AC113" s="33"/>
      <c r="AD113" s="33">
        <f t="shared" si="106"/>
        <v>0</v>
      </c>
      <c r="AE113" s="33">
        <f t="shared" si="107"/>
        <v>0</v>
      </c>
      <c r="AG113" s="33">
        <f t="shared" si="108"/>
        <v>0</v>
      </c>
      <c r="AH113" s="33">
        <f t="shared" si="109"/>
        <v>0</v>
      </c>
      <c r="AI113" s="33">
        <f t="shared" si="110"/>
        <v>0</v>
      </c>
      <c r="AK113" s="33">
        <f t="shared" si="111"/>
        <v>0</v>
      </c>
      <c r="AL113" s="33">
        <f t="shared" si="112"/>
        <v>0</v>
      </c>
      <c r="AM113" s="33">
        <f t="shared" si="113"/>
        <v>0</v>
      </c>
    </row>
    <row r="114" spans="1:39" s="25" customFormat="1" x14ac:dyDescent="0.2">
      <c r="A114" s="19"/>
      <c r="B114" s="19"/>
      <c r="C114" s="19"/>
      <c r="D114" s="19"/>
      <c r="E114" s="19"/>
      <c r="F114" s="19" t="s">
        <v>129</v>
      </c>
      <c r="G114" s="19"/>
      <c r="H114" s="21"/>
      <c r="I114" s="21">
        <f>ROUND(SUM(I89:I113),5)</f>
        <v>359971</v>
      </c>
      <c r="J114" s="21"/>
      <c r="K114" s="21">
        <f>ROUND(SUM(K89:K113),5)</f>
        <v>333725</v>
      </c>
      <c r="L114" s="21"/>
      <c r="M114" s="21">
        <f>ROUND(SUM(M89:M113),5)</f>
        <v>277260</v>
      </c>
      <c r="N114" s="21"/>
      <c r="O114" s="21">
        <f>ROUND(SUM(O89:O113),5)</f>
        <v>628127.16</v>
      </c>
      <c r="P114" s="21"/>
      <c r="Q114" s="21">
        <f>ROUND(SUM(Q89:Q113),5)</f>
        <v>284637.23</v>
      </c>
      <c r="R114" s="21"/>
      <c r="S114" s="22">
        <f>ROUND(SUM(S89:S113),5)</f>
        <v>637231.24</v>
      </c>
      <c r="T114" s="22"/>
      <c r="U114" s="22"/>
      <c r="V114" s="22"/>
      <c r="W114" s="22">
        <f>ROUND(SUM(W89:W113),5)</f>
        <v>379226.52</v>
      </c>
      <c r="X114" s="22"/>
      <c r="Y114" s="26">
        <f>ROUND(SUM(Y89:Y113),5)</f>
        <v>434435</v>
      </c>
      <c r="AA114" s="26">
        <f>ROUND(SUM(AA89:AA113),5)</f>
        <v>415050</v>
      </c>
      <c r="AC114" s="21">
        <f t="shared" ref="AC114:AE114" si="114">ROUND(SUM(AC89:AC113),5)</f>
        <v>411267.12599999999</v>
      </c>
      <c r="AD114" s="21">
        <f t="shared" si="114"/>
        <v>1027500.01</v>
      </c>
      <c r="AE114" s="21">
        <f t="shared" si="114"/>
        <v>245354.87</v>
      </c>
      <c r="AG114" s="21">
        <f t="shared" ref="AG114:AI114" si="115">ROUND(SUM(AG89:AG113),5)</f>
        <v>-67000.606</v>
      </c>
      <c r="AH114" s="21">
        <f t="shared" si="115"/>
        <v>-650313.49</v>
      </c>
      <c r="AI114" s="21">
        <f t="shared" si="115"/>
        <v>131831.65</v>
      </c>
      <c r="AK114" s="21">
        <f t="shared" ref="AK114:AM114" si="116">ROUND(SUM(AK89:AK113),5)</f>
        <v>-129732.126</v>
      </c>
      <c r="AL114" s="21">
        <f t="shared" si="116"/>
        <v>-593065.01</v>
      </c>
      <c r="AM114" s="21">
        <f t="shared" si="116"/>
        <v>189080.13</v>
      </c>
    </row>
    <row r="115" spans="1:39" s="25" customFormat="1" x14ac:dyDescent="0.2">
      <c r="A115" s="19"/>
      <c r="B115" s="19"/>
      <c r="C115" s="19"/>
      <c r="D115" s="19"/>
      <c r="E115" s="19"/>
      <c r="F115" s="19" t="s">
        <v>130</v>
      </c>
      <c r="G115" s="19"/>
      <c r="H115" s="21"/>
      <c r="I115" s="21"/>
      <c r="J115" s="21"/>
      <c r="K115" s="21"/>
      <c r="L115" s="21"/>
      <c r="M115" s="21"/>
      <c r="N115" s="21"/>
      <c r="O115" s="21"/>
      <c r="P115" s="21"/>
      <c r="Q115" s="21"/>
      <c r="R115" s="21"/>
      <c r="S115" s="22"/>
      <c r="T115" s="22"/>
      <c r="U115" s="22"/>
      <c r="V115" s="22"/>
      <c r="W115" s="22"/>
      <c r="X115" s="22"/>
      <c r="Y115" s="26"/>
      <c r="AA115" s="26"/>
      <c r="AC115" s="21"/>
      <c r="AD115" s="21"/>
      <c r="AE115" s="21"/>
      <c r="AG115" s="21"/>
      <c r="AH115" s="21"/>
      <c r="AI115" s="21"/>
      <c r="AK115" s="21"/>
      <c r="AL115" s="21"/>
      <c r="AM115" s="21"/>
    </row>
    <row r="116" spans="1:39" s="25" customFormat="1" x14ac:dyDescent="0.2">
      <c r="A116" s="19"/>
      <c r="B116" s="19"/>
      <c r="C116" s="19"/>
      <c r="D116" s="19"/>
      <c r="E116" s="19"/>
      <c r="F116" s="19"/>
      <c r="G116" s="19" t="s">
        <v>131</v>
      </c>
      <c r="H116" s="21"/>
      <c r="I116" s="21"/>
      <c r="J116" s="21"/>
      <c r="K116" s="21">
        <v>21187</v>
      </c>
      <c r="L116" s="21"/>
      <c r="M116" s="21">
        <v>6228</v>
      </c>
      <c r="N116" s="21"/>
      <c r="O116" s="21">
        <v>6689.77</v>
      </c>
      <c r="P116" s="21"/>
      <c r="Q116" s="21">
        <v>11080.74</v>
      </c>
      <c r="R116" s="21"/>
      <c r="S116" s="22">
        <v>10168.09</v>
      </c>
      <c r="T116" s="22"/>
      <c r="U116" s="22"/>
      <c r="V116" s="22"/>
      <c r="W116" s="22">
        <v>6638.85</v>
      </c>
      <c r="X116" s="22"/>
      <c r="Y116" s="26">
        <v>9500</v>
      </c>
      <c r="AA116" s="26">
        <v>9500</v>
      </c>
      <c r="AC116" s="21">
        <f t="shared" ref="AC116:AC126" si="117">AVERAGE(K116:S116)</f>
        <v>11070.720000000001</v>
      </c>
      <c r="AD116" s="21">
        <f>MAX(K116:S116)</f>
        <v>21187</v>
      </c>
      <c r="AE116" s="21">
        <f>MIN(K116:S116)</f>
        <v>6228</v>
      </c>
      <c r="AG116" s="21">
        <f t="shared" ref="AG116:AG126" si="118">+W116-AC116</f>
        <v>-4431.8700000000008</v>
      </c>
      <c r="AH116" s="21">
        <f t="shared" ref="AH116:AH126" si="119">+W116-AD116</f>
        <v>-14548.15</v>
      </c>
      <c r="AI116" s="21">
        <f t="shared" ref="AI116:AI126" si="120">+W116-AE116</f>
        <v>410.85000000000036</v>
      </c>
      <c r="AK116" s="21">
        <f t="shared" ref="AK116:AK126" si="121">+Y116-AC116</f>
        <v>-1570.7200000000012</v>
      </c>
      <c r="AL116" s="21">
        <f t="shared" ref="AL116:AL126" si="122">+Y116-AD116</f>
        <v>-11687</v>
      </c>
      <c r="AM116" s="21">
        <f t="shared" ref="AM116:AM126" si="123">+Y116-AE116</f>
        <v>3272</v>
      </c>
    </row>
    <row r="117" spans="1:39" s="25" customFormat="1" x14ac:dyDescent="0.2">
      <c r="A117" s="19"/>
      <c r="B117" s="19"/>
      <c r="C117" s="19"/>
      <c r="D117" s="19"/>
      <c r="E117" s="19"/>
      <c r="F117" s="19"/>
      <c r="G117" s="19" t="s">
        <v>132</v>
      </c>
      <c r="H117" s="21"/>
      <c r="I117" s="21">
        <v>52247</v>
      </c>
      <c r="J117" s="21"/>
      <c r="K117" s="21">
        <v>52247</v>
      </c>
      <c r="L117" s="21"/>
      <c r="M117" s="21">
        <v>52300</v>
      </c>
      <c r="N117" s="21"/>
      <c r="O117" s="21">
        <v>52246.57</v>
      </c>
      <c r="P117" s="21"/>
      <c r="Q117" s="21">
        <v>52246.559999999998</v>
      </c>
      <c r="R117" s="21"/>
      <c r="S117" s="22">
        <v>49985</v>
      </c>
      <c r="T117" s="22"/>
      <c r="U117" s="22"/>
      <c r="V117" s="22"/>
      <c r="W117" s="22">
        <v>76303.710000000006</v>
      </c>
      <c r="X117" s="22"/>
      <c r="Y117" s="26">
        <v>0</v>
      </c>
      <c r="AA117" s="26">
        <v>0</v>
      </c>
      <c r="AC117" s="21">
        <f t="shared" si="117"/>
        <v>51805.025999999998</v>
      </c>
      <c r="AD117" s="21">
        <f>MAX(K117:S117)</f>
        <v>52300</v>
      </c>
      <c r="AE117" s="21">
        <f>MIN(K117:S117)</f>
        <v>49985</v>
      </c>
      <c r="AG117" s="21">
        <f t="shared" si="118"/>
        <v>24498.684000000008</v>
      </c>
      <c r="AH117" s="21">
        <f t="shared" si="119"/>
        <v>24003.710000000006</v>
      </c>
      <c r="AI117" s="21">
        <f t="shared" si="120"/>
        <v>26318.710000000006</v>
      </c>
      <c r="AK117" s="21">
        <f t="shared" si="121"/>
        <v>-51805.025999999998</v>
      </c>
      <c r="AL117" s="21">
        <f t="shared" si="122"/>
        <v>-52300</v>
      </c>
      <c r="AM117" s="21">
        <f t="shared" si="123"/>
        <v>-49985</v>
      </c>
    </row>
    <row r="118" spans="1:39" s="25" customFormat="1" x14ac:dyDescent="0.2">
      <c r="A118" s="19"/>
      <c r="B118" s="19"/>
      <c r="C118" s="19"/>
      <c r="D118" s="19"/>
      <c r="E118" s="19"/>
      <c r="F118" s="19"/>
      <c r="G118" s="19" t="s">
        <v>133</v>
      </c>
      <c r="H118" s="21"/>
      <c r="I118" s="21"/>
      <c r="J118" s="21"/>
      <c r="K118" s="21"/>
      <c r="L118" s="21"/>
      <c r="M118" s="21"/>
      <c r="N118" s="21"/>
      <c r="O118" s="21"/>
      <c r="P118" s="21"/>
      <c r="Q118" s="21"/>
      <c r="R118" s="21"/>
      <c r="S118" s="22">
        <v>2261.77</v>
      </c>
      <c r="T118" s="22"/>
      <c r="U118" s="22"/>
      <c r="V118" s="22"/>
      <c r="W118" s="22">
        <v>1105</v>
      </c>
      <c r="X118" s="22"/>
      <c r="Y118" s="26"/>
      <c r="AA118" s="26">
        <v>0</v>
      </c>
      <c r="AC118" s="21"/>
      <c r="AD118" s="21"/>
      <c r="AE118" s="21"/>
      <c r="AG118" s="21"/>
      <c r="AH118" s="21"/>
      <c r="AI118" s="21"/>
      <c r="AK118" s="21"/>
      <c r="AL118" s="21"/>
      <c r="AM118" s="21"/>
    </row>
    <row r="119" spans="1:39" s="25" customFormat="1" x14ac:dyDescent="0.2">
      <c r="A119" s="19"/>
      <c r="B119" s="19"/>
      <c r="C119" s="19"/>
      <c r="D119" s="19"/>
      <c r="E119" s="19"/>
      <c r="F119" s="19"/>
      <c r="G119" s="19" t="s">
        <v>134</v>
      </c>
      <c r="H119" s="21"/>
      <c r="I119" s="21"/>
      <c r="J119" s="21"/>
      <c r="K119" s="21">
        <v>45190</v>
      </c>
      <c r="L119" s="21"/>
      <c r="M119" s="21">
        <v>41121</v>
      </c>
      <c r="N119" s="21"/>
      <c r="O119" s="21">
        <v>31792.52</v>
      </c>
      <c r="P119" s="21"/>
      <c r="Q119" s="21">
        <v>29483.8</v>
      </c>
      <c r="R119" s="21"/>
      <c r="S119" s="22">
        <v>32493.27</v>
      </c>
      <c r="T119" s="22"/>
      <c r="U119" s="22"/>
      <c r="V119" s="22"/>
      <c r="W119" s="22">
        <v>16878.04</v>
      </c>
      <c r="X119" s="22"/>
      <c r="Y119" s="26">
        <v>32000</v>
      </c>
      <c r="AA119" s="26">
        <v>32000</v>
      </c>
      <c r="AC119" s="21">
        <f t="shared" si="117"/>
        <v>36016.118000000002</v>
      </c>
      <c r="AD119" s="21">
        <f t="shared" ref="AD119:AD126" si="124">MAX(K119:S119)</f>
        <v>45190</v>
      </c>
      <c r="AE119" s="21">
        <f t="shared" ref="AE119:AE126" si="125">MIN(K119:S119)</f>
        <v>29483.8</v>
      </c>
      <c r="AG119" s="21">
        <f t="shared" si="118"/>
        <v>-19138.078000000001</v>
      </c>
      <c r="AH119" s="21">
        <f t="shared" si="119"/>
        <v>-28311.96</v>
      </c>
      <c r="AI119" s="21">
        <f t="shared" si="120"/>
        <v>-12605.759999999998</v>
      </c>
      <c r="AK119" s="21">
        <f t="shared" si="121"/>
        <v>-4016.1180000000022</v>
      </c>
      <c r="AL119" s="21">
        <f t="shared" si="122"/>
        <v>-13190</v>
      </c>
      <c r="AM119" s="21">
        <f t="shared" si="123"/>
        <v>2516.2000000000007</v>
      </c>
    </row>
    <row r="120" spans="1:39" s="25" customFormat="1" x14ac:dyDescent="0.2">
      <c r="A120" s="19"/>
      <c r="B120" s="19"/>
      <c r="C120" s="19"/>
      <c r="D120" s="19"/>
      <c r="E120" s="19"/>
      <c r="F120" s="19"/>
      <c r="G120" s="19" t="s">
        <v>135</v>
      </c>
      <c r="H120" s="21"/>
      <c r="I120" s="21">
        <v>2271</v>
      </c>
      <c r="J120" s="21"/>
      <c r="K120" s="21">
        <v>11854</v>
      </c>
      <c r="L120" s="21"/>
      <c r="M120" s="21">
        <v>13655</v>
      </c>
      <c r="N120" s="21"/>
      <c r="O120" s="21">
        <v>7608.32</v>
      </c>
      <c r="P120" s="21"/>
      <c r="Q120" s="21">
        <v>17521.349999999999</v>
      </c>
      <c r="R120" s="21"/>
      <c r="S120" s="22">
        <v>22706.86</v>
      </c>
      <c r="T120" s="22"/>
      <c r="U120" s="22"/>
      <c r="V120" s="22"/>
      <c r="W120" s="22">
        <v>11785.52</v>
      </c>
      <c r="X120" s="22"/>
      <c r="Y120" s="26">
        <v>27600</v>
      </c>
      <c r="AA120" s="26">
        <v>22600</v>
      </c>
      <c r="AC120" s="21">
        <f t="shared" si="117"/>
        <v>14669.106</v>
      </c>
      <c r="AD120" s="21">
        <f t="shared" si="124"/>
        <v>22706.86</v>
      </c>
      <c r="AE120" s="21">
        <f t="shared" si="125"/>
        <v>7608.32</v>
      </c>
      <c r="AG120" s="21">
        <f t="shared" si="118"/>
        <v>-2883.5859999999993</v>
      </c>
      <c r="AH120" s="21">
        <f t="shared" si="119"/>
        <v>-10921.34</v>
      </c>
      <c r="AI120" s="21">
        <f t="shared" si="120"/>
        <v>4177.2000000000007</v>
      </c>
      <c r="AK120" s="21">
        <f t="shared" si="121"/>
        <v>12930.894</v>
      </c>
      <c r="AL120" s="21">
        <f t="shared" si="122"/>
        <v>4893.1399999999994</v>
      </c>
      <c r="AM120" s="21">
        <f t="shared" si="123"/>
        <v>19991.68</v>
      </c>
    </row>
    <row r="121" spans="1:39" s="25" customFormat="1" x14ac:dyDescent="0.2">
      <c r="A121" s="19"/>
      <c r="B121" s="19"/>
      <c r="C121" s="19"/>
      <c r="D121" s="19"/>
      <c r="E121" s="19"/>
      <c r="F121" s="19"/>
      <c r="G121" s="19" t="s">
        <v>136</v>
      </c>
      <c r="H121" s="21"/>
      <c r="I121" s="21">
        <v>18170</v>
      </c>
      <c r="J121" s="21"/>
      <c r="K121" s="21">
        <v>8715</v>
      </c>
      <c r="L121" s="21"/>
      <c r="M121" s="21">
        <v>20250</v>
      </c>
      <c r="N121" s="21"/>
      <c r="O121" s="21">
        <v>4716.6000000000004</v>
      </c>
      <c r="P121" s="21"/>
      <c r="Q121" s="21">
        <v>22655.08</v>
      </c>
      <c r="R121" s="21"/>
      <c r="S121" s="22">
        <v>14990.07</v>
      </c>
      <c r="T121" s="22"/>
      <c r="U121" s="22"/>
      <c r="V121" s="22"/>
      <c r="W121" s="22">
        <v>6147</v>
      </c>
      <c r="X121" s="22"/>
      <c r="Y121" s="26">
        <v>15000</v>
      </c>
      <c r="AA121" s="26">
        <v>15000</v>
      </c>
      <c r="AC121" s="21">
        <f t="shared" si="117"/>
        <v>14265.35</v>
      </c>
      <c r="AD121" s="21">
        <f t="shared" si="124"/>
        <v>22655.08</v>
      </c>
      <c r="AE121" s="21">
        <f t="shared" si="125"/>
        <v>4716.6000000000004</v>
      </c>
      <c r="AG121" s="21">
        <f t="shared" si="118"/>
        <v>-8118.35</v>
      </c>
      <c r="AH121" s="21">
        <f t="shared" si="119"/>
        <v>-16508.080000000002</v>
      </c>
      <c r="AI121" s="21">
        <f t="shared" si="120"/>
        <v>1430.3999999999996</v>
      </c>
      <c r="AK121" s="21">
        <f t="shared" si="121"/>
        <v>734.64999999999964</v>
      </c>
      <c r="AL121" s="21">
        <f t="shared" si="122"/>
        <v>-7655.0800000000017</v>
      </c>
      <c r="AM121" s="21">
        <f t="shared" si="123"/>
        <v>10283.4</v>
      </c>
    </row>
    <row r="122" spans="1:39" s="25" customFormat="1" x14ac:dyDescent="0.2">
      <c r="A122" s="19"/>
      <c r="B122" s="19"/>
      <c r="C122" s="19"/>
      <c r="D122" s="19"/>
      <c r="E122" s="19"/>
      <c r="F122" s="19"/>
      <c r="G122" s="19" t="s">
        <v>137</v>
      </c>
      <c r="H122" s="21"/>
      <c r="I122" s="21">
        <v>10021</v>
      </c>
      <c r="J122" s="21"/>
      <c r="K122" s="21">
        <v>8605</v>
      </c>
      <c r="L122" s="21"/>
      <c r="M122" s="21">
        <v>17349</v>
      </c>
      <c r="N122" s="21"/>
      <c r="O122" s="21">
        <v>6249.04</v>
      </c>
      <c r="P122" s="21"/>
      <c r="Q122" s="21">
        <v>7871.26</v>
      </c>
      <c r="R122" s="21"/>
      <c r="S122" s="22">
        <v>7971.68</v>
      </c>
      <c r="T122" s="22"/>
      <c r="U122" s="22"/>
      <c r="V122" s="22"/>
      <c r="W122" s="22">
        <v>5158.09</v>
      </c>
      <c r="X122" s="22"/>
      <c r="Y122" s="26">
        <v>8000</v>
      </c>
      <c r="AA122" s="26">
        <v>6000</v>
      </c>
      <c r="AC122" s="21">
        <f t="shared" si="117"/>
        <v>9609.1959999999999</v>
      </c>
      <c r="AD122" s="21">
        <f t="shared" si="124"/>
        <v>17349</v>
      </c>
      <c r="AE122" s="21">
        <f t="shared" si="125"/>
        <v>6249.04</v>
      </c>
      <c r="AG122" s="21">
        <f t="shared" si="118"/>
        <v>-4451.1059999999998</v>
      </c>
      <c r="AH122" s="21">
        <f t="shared" si="119"/>
        <v>-12190.91</v>
      </c>
      <c r="AI122" s="21">
        <f t="shared" si="120"/>
        <v>-1090.9499999999998</v>
      </c>
      <c r="AK122" s="21">
        <f t="shared" si="121"/>
        <v>-1609.1959999999999</v>
      </c>
      <c r="AL122" s="21">
        <f t="shared" si="122"/>
        <v>-9349</v>
      </c>
      <c r="AM122" s="21">
        <f t="shared" si="123"/>
        <v>1750.96</v>
      </c>
    </row>
    <row r="123" spans="1:39" s="25" customFormat="1" x14ac:dyDescent="0.2">
      <c r="A123" s="19"/>
      <c r="B123" s="19"/>
      <c r="C123" s="19"/>
      <c r="D123" s="19"/>
      <c r="E123" s="19"/>
      <c r="F123" s="19"/>
      <c r="G123" s="19" t="s">
        <v>138</v>
      </c>
      <c r="H123" s="21"/>
      <c r="I123" s="21">
        <v>2400</v>
      </c>
      <c r="J123" s="21"/>
      <c r="K123" s="21"/>
      <c r="L123" s="21"/>
      <c r="M123" s="21"/>
      <c r="N123" s="21"/>
      <c r="O123" s="21">
        <v>380</v>
      </c>
      <c r="P123" s="21"/>
      <c r="Q123" s="21">
        <v>0</v>
      </c>
      <c r="R123" s="21"/>
      <c r="S123" s="22">
        <v>0</v>
      </c>
      <c r="T123" s="22"/>
      <c r="U123" s="22"/>
      <c r="V123" s="22"/>
      <c r="W123" s="22">
        <v>0</v>
      </c>
      <c r="X123" s="22"/>
      <c r="Y123" s="26">
        <v>1000</v>
      </c>
      <c r="AA123" s="26">
        <v>1000</v>
      </c>
      <c r="AC123" s="21">
        <f t="shared" si="117"/>
        <v>126.66666666666667</v>
      </c>
      <c r="AD123" s="21">
        <f t="shared" si="124"/>
        <v>380</v>
      </c>
      <c r="AE123" s="21">
        <f t="shared" si="125"/>
        <v>0</v>
      </c>
      <c r="AG123" s="21">
        <f t="shared" si="118"/>
        <v>-126.66666666666667</v>
      </c>
      <c r="AH123" s="21">
        <f t="shared" si="119"/>
        <v>-380</v>
      </c>
      <c r="AI123" s="21">
        <f t="shared" si="120"/>
        <v>0</v>
      </c>
      <c r="AK123" s="21">
        <f t="shared" si="121"/>
        <v>873.33333333333337</v>
      </c>
      <c r="AL123" s="21">
        <f t="shared" si="122"/>
        <v>620</v>
      </c>
      <c r="AM123" s="21">
        <f t="shared" si="123"/>
        <v>1000</v>
      </c>
    </row>
    <row r="124" spans="1:39" s="25" customFormat="1" x14ac:dyDescent="0.2">
      <c r="A124" s="19"/>
      <c r="B124" s="19"/>
      <c r="C124" s="19"/>
      <c r="D124" s="19"/>
      <c r="E124" s="19"/>
      <c r="F124" s="19"/>
      <c r="G124" s="19" t="s">
        <v>139</v>
      </c>
      <c r="H124" s="21"/>
      <c r="I124" s="21">
        <v>21913</v>
      </c>
      <c r="J124" s="21"/>
      <c r="K124" s="21">
        <v>11631</v>
      </c>
      <c r="L124" s="21"/>
      <c r="M124" s="21">
        <v>10701</v>
      </c>
      <c r="N124" s="21"/>
      <c r="O124" s="21">
        <v>10686.42</v>
      </c>
      <c r="P124" s="21"/>
      <c r="Q124" s="21">
        <v>1196.74</v>
      </c>
      <c r="R124" s="21"/>
      <c r="S124" s="22">
        <v>5850.55</v>
      </c>
      <c r="T124" s="22"/>
      <c r="U124" s="22"/>
      <c r="V124" s="22"/>
      <c r="W124" s="22">
        <v>4253.3599999999997</v>
      </c>
      <c r="X124" s="22"/>
      <c r="Y124" s="26">
        <v>11500</v>
      </c>
      <c r="AA124" s="26"/>
      <c r="AC124" s="21">
        <f t="shared" si="117"/>
        <v>8013.1419999999998</v>
      </c>
      <c r="AD124" s="21">
        <f t="shared" si="124"/>
        <v>11631</v>
      </c>
      <c r="AE124" s="21">
        <f t="shared" si="125"/>
        <v>1196.74</v>
      </c>
      <c r="AG124" s="21">
        <f t="shared" si="118"/>
        <v>-3759.7820000000002</v>
      </c>
      <c r="AH124" s="21">
        <f t="shared" si="119"/>
        <v>-7377.64</v>
      </c>
      <c r="AI124" s="21">
        <f t="shared" si="120"/>
        <v>3056.62</v>
      </c>
      <c r="AK124" s="21">
        <f t="shared" si="121"/>
        <v>3486.8580000000002</v>
      </c>
      <c r="AL124" s="21">
        <f t="shared" si="122"/>
        <v>-131</v>
      </c>
      <c r="AM124" s="21">
        <f t="shared" si="123"/>
        <v>10303.26</v>
      </c>
    </row>
    <row r="125" spans="1:39" s="25" customFormat="1" x14ac:dyDescent="0.2">
      <c r="A125" s="19"/>
      <c r="B125" s="19"/>
      <c r="C125" s="19"/>
      <c r="D125" s="19"/>
      <c r="E125" s="19"/>
      <c r="F125" s="19"/>
      <c r="G125" s="19" t="s">
        <v>140</v>
      </c>
      <c r="H125" s="21"/>
      <c r="I125" s="21"/>
      <c r="J125" s="21"/>
      <c r="K125" s="21">
        <v>6345</v>
      </c>
      <c r="L125" s="21"/>
      <c r="M125" s="21">
        <v>18291</v>
      </c>
      <c r="N125" s="21"/>
      <c r="O125" s="21">
        <v>0</v>
      </c>
      <c r="P125" s="21"/>
      <c r="Q125" s="21">
        <v>2024.19</v>
      </c>
      <c r="R125" s="21"/>
      <c r="S125" s="22">
        <v>514.44000000000005</v>
      </c>
      <c r="T125" s="22"/>
      <c r="U125" s="22"/>
      <c r="V125" s="22"/>
      <c r="W125" s="22">
        <v>406.27</v>
      </c>
      <c r="X125" s="22"/>
      <c r="Y125" s="26">
        <v>7000</v>
      </c>
      <c r="AA125" s="26">
        <v>1000</v>
      </c>
      <c r="AC125" s="21">
        <f t="shared" si="117"/>
        <v>5434.9259999999995</v>
      </c>
      <c r="AD125" s="21">
        <f t="shared" si="124"/>
        <v>18291</v>
      </c>
      <c r="AE125" s="21">
        <f t="shared" si="125"/>
        <v>0</v>
      </c>
      <c r="AG125" s="21">
        <f t="shared" si="118"/>
        <v>-5028.655999999999</v>
      </c>
      <c r="AH125" s="21">
        <f t="shared" si="119"/>
        <v>-17884.73</v>
      </c>
      <c r="AI125" s="21">
        <f t="shared" si="120"/>
        <v>406.27</v>
      </c>
      <c r="AK125" s="21">
        <f t="shared" si="121"/>
        <v>1565.0740000000005</v>
      </c>
      <c r="AL125" s="21">
        <f t="shared" si="122"/>
        <v>-11291</v>
      </c>
      <c r="AM125" s="21">
        <f t="shared" si="123"/>
        <v>7000</v>
      </c>
    </row>
    <row r="126" spans="1:39" s="25" customFormat="1" ht="12" thickBot="1" x14ac:dyDescent="0.25">
      <c r="A126" s="19"/>
      <c r="B126" s="19"/>
      <c r="C126" s="19"/>
      <c r="D126" s="19"/>
      <c r="E126" s="19"/>
      <c r="F126" s="19"/>
      <c r="G126" s="19" t="s">
        <v>141</v>
      </c>
      <c r="H126" s="21"/>
      <c r="I126" s="27"/>
      <c r="J126" s="21"/>
      <c r="K126" s="27"/>
      <c r="L126" s="21"/>
      <c r="M126" s="27">
        <v>85000</v>
      </c>
      <c r="N126" s="21"/>
      <c r="O126" s="27">
        <v>0</v>
      </c>
      <c r="P126" s="27"/>
      <c r="Q126" s="21">
        <v>25067</v>
      </c>
      <c r="R126" s="21"/>
      <c r="S126" s="22">
        <v>31345.3</v>
      </c>
      <c r="T126" s="28"/>
      <c r="U126" s="28"/>
      <c r="V126" s="22"/>
      <c r="W126" s="22">
        <v>36679.550000000003</v>
      </c>
      <c r="X126" s="22"/>
      <c r="Y126" s="29"/>
      <c r="AA126" s="29">
        <v>35000</v>
      </c>
      <c r="AB126" s="21"/>
      <c r="AC126" s="27">
        <f t="shared" si="117"/>
        <v>35353.074999999997</v>
      </c>
      <c r="AD126" s="27">
        <f t="shared" si="124"/>
        <v>85000</v>
      </c>
      <c r="AE126" s="27">
        <f t="shared" si="125"/>
        <v>0</v>
      </c>
      <c r="AG126" s="27">
        <f t="shared" si="118"/>
        <v>1326.4750000000058</v>
      </c>
      <c r="AH126" s="27">
        <f t="shared" si="119"/>
        <v>-48320.45</v>
      </c>
      <c r="AI126" s="27">
        <f t="shared" si="120"/>
        <v>36679.550000000003</v>
      </c>
      <c r="AK126" s="27">
        <f t="shared" si="121"/>
        <v>-35353.074999999997</v>
      </c>
      <c r="AL126" s="27">
        <f t="shared" si="122"/>
        <v>-85000</v>
      </c>
      <c r="AM126" s="27">
        <f t="shared" si="123"/>
        <v>0</v>
      </c>
    </row>
    <row r="127" spans="1:39" s="25" customFormat="1" ht="12" thickBot="1" x14ac:dyDescent="0.25">
      <c r="A127" s="19"/>
      <c r="B127" s="19"/>
      <c r="C127" s="19"/>
      <c r="D127" s="19"/>
      <c r="E127" s="19"/>
      <c r="F127" s="19" t="s">
        <v>142</v>
      </c>
      <c r="G127" s="19"/>
      <c r="H127" s="21"/>
      <c r="I127" s="30">
        <f>ROUND(SUM(I115:I126),5)</f>
        <v>107022</v>
      </c>
      <c r="J127" s="21"/>
      <c r="K127" s="30">
        <f>ROUND(SUM(K115:K126),5)</f>
        <v>165774</v>
      </c>
      <c r="L127" s="21"/>
      <c r="M127" s="30">
        <f>ROUND(SUM(M115:M126),5)</f>
        <v>264895</v>
      </c>
      <c r="N127" s="21"/>
      <c r="O127" s="30">
        <f>ROUND(SUM(O115:O126),5)</f>
        <v>120369.24</v>
      </c>
      <c r="P127" s="30"/>
      <c r="Q127" s="30">
        <f>ROUND(SUM(Q115:Q126),5)</f>
        <v>169146.72</v>
      </c>
      <c r="R127" s="30"/>
      <c r="S127" s="31">
        <f>ROUND(SUM(S115:S126),5)</f>
        <v>178287.03</v>
      </c>
      <c r="T127" s="28"/>
      <c r="U127" s="28"/>
      <c r="V127" s="22"/>
      <c r="W127" s="31">
        <f>ROUND(SUM(W115:W126),5)</f>
        <v>165355.39000000001</v>
      </c>
      <c r="X127" s="22"/>
      <c r="Y127" s="32">
        <f>ROUND(SUM(Y115:Y126),5)</f>
        <v>111600</v>
      </c>
      <c r="AA127" s="32">
        <f>ROUND(SUM(AA115:AA126),5)</f>
        <v>122100</v>
      </c>
      <c r="AC127" s="30">
        <f>ROUND(SUM(AC115:AC126),5)</f>
        <v>186363.32566999999</v>
      </c>
      <c r="AD127" s="30">
        <f>ROUND(SUM(AD115:AD126),5)</f>
        <v>296689.94</v>
      </c>
      <c r="AE127" s="30">
        <f>ROUND(SUM(AE115:AE126),5)</f>
        <v>105467.5</v>
      </c>
      <c r="AG127" s="30">
        <f>ROUND(SUM(AG115:AG126),5)</f>
        <v>-22112.935669999999</v>
      </c>
      <c r="AH127" s="30">
        <f>ROUND(SUM(AH115:AH126),5)</f>
        <v>-132439.54999999999</v>
      </c>
      <c r="AI127" s="30">
        <f>ROUND(SUM(AI115:AI126),5)</f>
        <v>58782.89</v>
      </c>
      <c r="AK127" s="30">
        <f>ROUND(SUM(AK115:AK126),5)</f>
        <v>-74763.325670000006</v>
      </c>
      <c r="AL127" s="30">
        <f>ROUND(SUM(AL115:AL126),5)</f>
        <v>-185089.94</v>
      </c>
      <c r="AM127" s="30">
        <f>ROUND(SUM(AM115:AM126),5)</f>
        <v>6132.5</v>
      </c>
    </row>
    <row r="128" spans="1:39" s="25" customFormat="1" x14ac:dyDescent="0.2">
      <c r="A128" s="19"/>
      <c r="B128" s="19"/>
      <c r="C128" s="19"/>
      <c r="D128" s="19"/>
      <c r="E128" s="40" t="s">
        <v>143</v>
      </c>
      <c r="F128" s="19"/>
      <c r="G128" s="19"/>
      <c r="H128" s="21"/>
      <c r="I128" s="21">
        <f>ROUND(I88+I114+I127,5)</f>
        <v>466993</v>
      </c>
      <c r="J128" s="21"/>
      <c r="K128" s="21">
        <f>ROUND(K88+K114+K127,5)</f>
        <v>499499</v>
      </c>
      <c r="L128" s="21"/>
      <c r="M128" s="21">
        <f>ROUND(M88+M114+M127,5)</f>
        <v>542155</v>
      </c>
      <c r="N128" s="21"/>
      <c r="O128" s="21">
        <f>ROUND(O88+O114+O127,5)</f>
        <v>748496.4</v>
      </c>
      <c r="P128" s="21"/>
      <c r="Q128" s="21">
        <f>ROUND(Q88+Q114+Q127,5)</f>
        <v>453783.95</v>
      </c>
      <c r="R128" s="21"/>
      <c r="S128" s="22">
        <f>ROUND(S88+S114+S127,5)</f>
        <v>815518.27</v>
      </c>
      <c r="T128" s="22"/>
      <c r="U128" s="22"/>
      <c r="V128" s="22"/>
      <c r="W128" s="22">
        <f>ROUND(W88+W114+W127,5)</f>
        <v>544581.91</v>
      </c>
      <c r="X128" s="22"/>
      <c r="Y128" s="26">
        <f>ROUND(Y88+Y114+Y127,5)</f>
        <v>546035</v>
      </c>
      <c r="AA128" s="26">
        <f>ROUND(AA88+AA114+AA127,5)</f>
        <v>537150</v>
      </c>
      <c r="AC128" s="21">
        <f>ROUND(AC88+AC114+AC127,5)</f>
        <v>597630.45166999998</v>
      </c>
      <c r="AD128" s="21">
        <f>ROUND(AD88+AD114+AD127,5)</f>
        <v>1324189.95</v>
      </c>
      <c r="AE128" s="21">
        <f>ROUND(AE88+AE114+AE127,5)</f>
        <v>350822.37</v>
      </c>
      <c r="AG128" s="21">
        <f>ROUND(AG88+AG114+AG127,5)</f>
        <v>-89113.541670000006</v>
      </c>
      <c r="AH128" s="21">
        <f>ROUND(AH88+AH114+AH127,5)</f>
        <v>-782753.04</v>
      </c>
      <c r="AI128" s="21">
        <f>ROUND(AI88+AI114+AI127,5)</f>
        <v>190614.54</v>
      </c>
      <c r="AK128" s="21">
        <f>ROUND(AK88+AK114+AK127,5)</f>
        <v>-204495.45167000001</v>
      </c>
      <c r="AL128" s="21">
        <f>ROUND(AL88+AL114+AL127,5)</f>
        <v>-778154.95</v>
      </c>
      <c r="AM128" s="21">
        <f>ROUND(AM88+AM114+AM127,5)</f>
        <v>195212.63</v>
      </c>
    </row>
    <row r="129" spans="1:39" s="25" customFormat="1" x14ac:dyDescent="0.2">
      <c r="A129" s="19"/>
      <c r="B129" s="19"/>
      <c r="C129" s="19"/>
      <c r="D129" s="19"/>
      <c r="E129" s="19"/>
      <c r="F129" s="19"/>
      <c r="G129" s="19"/>
      <c r="H129" s="21"/>
      <c r="I129" s="21"/>
      <c r="J129" s="21"/>
      <c r="K129" s="21"/>
      <c r="L129" s="21"/>
      <c r="M129" s="21"/>
      <c r="N129" s="21"/>
      <c r="O129" s="21"/>
      <c r="P129" s="21"/>
      <c r="Q129" s="21"/>
      <c r="R129" s="21"/>
      <c r="S129" s="22"/>
      <c r="T129" s="22"/>
      <c r="U129" s="22"/>
      <c r="V129" s="22"/>
      <c r="W129" s="22"/>
      <c r="X129" s="22"/>
      <c r="Y129" s="26"/>
      <c r="AA129" s="26"/>
      <c r="AC129" s="21"/>
      <c r="AD129" s="21"/>
      <c r="AE129" s="21"/>
      <c r="AG129" s="21"/>
      <c r="AH129" s="21"/>
      <c r="AI129" s="21"/>
      <c r="AK129" s="21"/>
      <c r="AL129" s="21"/>
      <c r="AM129" s="21"/>
    </row>
    <row r="130" spans="1:39" s="25" customFormat="1" x14ac:dyDescent="0.2">
      <c r="A130" s="19"/>
      <c r="B130" s="19"/>
      <c r="C130" s="19"/>
      <c r="D130" s="19"/>
      <c r="E130" s="40" t="s">
        <v>144</v>
      </c>
      <c r="F130" s="19"/>
      <c r="G130" s="19"/>
      <c r="H130" s="21"/>
      <c r="I130" s="21"/>
      <c r="J130" s="21"/>
      <c r="K130" s="21"/>
      <c r="L130" s="21"/>
      <c r="M130" s="21"/>
      <c r="N130" s="21"/>
      <c r="O130" s="21"/>
      <c r="P130" s="21"/>
      <c r="Q130" s="21"/>
      <c r="R130" s="21"/>
      <c r="S130" s="22"/>
      <c r="T130" s="22"/>
      <c r="U130" s="22"/>
      <c r="V130" s="22"/>
      <c r="W130" s="22"/>
      <c r="X130" s="22"/>
      <c r="Y130" s="26"/>
      <c r="AA130" s="26"/>
      <c r="AC130" s="21"/>
      <c r="AD130" s="21"/>
      <c r="AE130" s="21"/>
      <c r="AG130" s="21"/>
      <c r="AH130" s="21"/>
      <c r="AI130" s="21"/>
      <c r="AK130" s="21"/>
      <c r="AL130" s="21"/>
      <c r="AM130" s="21"/>
    </row>
    <row r="131" spans="1:39" s="25" customFormat="1" x14ac:dyDescent="0.2">
      <c r="A131" s="19"/>
      <c r="B131" s="19"/>
      <c r="C131" s="19"/>
      <c r="D131" s="19"/>
      <c r="E131" s="19"/>
      <c r="F131" s="19" t="s">
        <v>145</v>
      </c>
      <c r="G131" s="19"/>
      <c r="H131" s="21"/>
      <c r="I131" s="21"/>
      <c r="J131" s="21"/>
      <c r="K131" s="21"/>
      <c r="L131" s="21"/>
      <c r="M131" s="21"/>
      <c r="N131" s="21"/>
      <c r="O131" s="21"/>
      <c r="P131" s="21"/>
      <c r="Q131" s="21"/>
      <c r="R131" s="21"/>
      <c r="S131" s="22"/>
      <c r="T131" s="22"/>
      <c r="U131" s="22"/>
      <c r="V131" s="22"/>
      <c r="W131" s="22"/>
      <c r="X131" s="22"/>
      <c r="Y131" s="26"/>
      <c r="AA131" s="26"/>
      <c r="AC131" s="21"/>
      <c r="AD131" s="21"/>
      <c r="AE131" s="21"/>
      <c r="AG131" s="21"/>
      <c r="AH131" s="21"/>
      <c r="AI131" s="21"/>
      <c r="AK131" s="21"/>
      <c r="AL131" s="21"/>
      <c r="AM131" s="21"/>
    </row>
    <row r="132" spans="1:39" s="25" customFormat="1" x14ac:dyDescent="0.2">
      <c r="A132" s="19"/>
      <c r="B132" s="19"/>
      <c r="C132" s="19"/>
      <c r="D132" s="19"/>
      <c r="E132" s="19"/>
      <c r="F132" s="19"/>
      <c r="G132" s="19" t="s">
        <v>146</v>
      </c>
      <c r="H132" s="21"/>
      <c r="I132" s="21">
        <v>203816</v>
      </c>
      <c r="J132" s="21"/>
      <c r="K132" s="21">
        <v>211654</v>
      </c>
      <c r="L132" s="21"/>
      <c r="M132" s="21">
        <v>211155</v>
      </c>
      <c r="N132" s="21"/>
      <c r="O132" s="21">
        <v>245555.14</v>
      </c>
      <c r="P132" s="21"/>
      <c r="Q132" s="21">
        <v>256466.3</v>
      </c>
      <c r="R132" s="21"/>
      <c r="S132" s="22">
        <v>284414.59000000003</v>
      </c>
      <c r="T132" s="22"/>
      <c r="U132" s="22"/>
      <c r="V132" s="22"/>
      <c r="W132" s="22">
        <v>150580.06</v>
      </c>
      <c r="X132" s="22"/>
      <c r="Y132" s="26">
        <v>293038</v>
      </c>
      <c r="AA132" s="26">
        <v>309896</v>
      </c>
      <c r="AB132" s="5"/>
      <c r="AC132" s="21">
        <f t="shared" ref="AC132:AC136" si="126">AVERAGE(K132:S132)</f>
        <v>241849.00599999999</v>
      </c>
      <c r="AD132" s="21">
        <f>MAX(K132:S132)</f>
        <v>284414.59000000003</v>
      </c>
      <c r="AE132" s="21">
        <f>MIN(K132:S132)</f>
        <v>211155</v>
      </c>
      <c r="AG132" s="21">
        <f t="shared" ref="AG132:AG136" si="127">+W132-AC132</f>
        <v>-91268.945999999996</v>
      </c>
      <c r="AH132" s="21">
        <f t="shared" ref="AH132:AH136" si="128">+W132-AD132</f>
        <v>-133834.53000000003</v>
      </c>
      <c r="AI132" s="21">
        <f t="shared" ref="AI132:AI136" si="129">+W132-AE132</f>
        <v>-60574.94</v>
      </c>
      <c r="AK132" s="21">
        <f t="shared" ref="AK132:AK136" si="130">+Y132-AC132</f>
        <v>51188.994000000006</v>
      </c>
      <c r="AL132" s="21">
        <f t="shared" ref="AL132:AL136" si="131">+Y132-AD132</f>
        <v>8623.4099999999744</v>
      </c>
      <c r="AM132" s="21">
        <f t="shared" ref="AM132:AM136" si="132">+Y132-AE132</f>
        <v>81883</v>
      </c>
    </row>
    <row r="133" spans="1:39" s="25" customFormat="1" x14ac:dyDescent="0.2">
      <c r="A133" s="19"/>
      <c r="B133" s="19"/>
      <c r="C133" s="19"/>
      <c r="D133" s="19"/>
      <c r="E133" s="19"/>
      <c r="F133" s="19"/>
      <c r="G133" s="19" t="s">
        <v>147</v>
      </c>
      <c r="H133" s="21"/>
      <c r="I133" s="21">
        <v>19389</v>
      </c>
      <c r="J133" s="21"/>
      <c r="K133" s="21">
        <v>20306</v>
      </c>
      <c r="L133" s="21"/>
      <c r="M133" s="21">
        <v>19258</v>
      </c>
      <c r="N133" s="21"/>
      <c r="O133" s="21">
        <v>20676.189999999999</v>
      </c>
      <c r="P133" s="21"/>
      <c r="Q133" s="21">
        <v>20955.72</v>
      </c>
      <c r="R133" s="21"/>
      <c r="S133" s="22">
        <v>22567.49</v>
      </c>
      <c r="T133" s="22"/>
      <c r="U133" s="22"/>
      <c r="V133" s="22"/>
      <c r="W133" s="22">
        <v>12832.68</v>
      </c>
      <c r="X133" s="22"/>
      <c r="Y133" s="26">
        <v>22416</v>
      </c>
      <c r="AA133" s="26">
        <f>+AA132*0.0765</f>
        <v>23707.043999999998</v>
      </c>
      <c r="AB133" s="5"/>
      <c r="AC133" s="21">
        <f t="shared" si="126"/>
        <v>20752.68</v>
      </c>
      <c r="AD133" s="21">
        <f>MAX(K133:S133)</f>
        <v>22567.49</v>
      </c>
      <c r="AE133" s="21">
        <f>MIN(K133:S133)</f>
        <v>19258</v>
      </c>
      <c r="AG133" s="21">
        <f t="shared" si="127"/>
        <v>-7920</v>
      </c>
      <c r="AH133" s="21">
        <f t="shared" si="128"/>
        <v>-9734.8100000000013</v>
      </c>
      <c r="AI133" s="21">
        <f t="shared" si="129"/>
        <v>-6425.32</v>
      </c>
      <c r="AK133" s="21">
        <f t="shared" si="130"/>
        <v>1663.3199999999997</v>
      </c>
      <c r="AL133" s="21">
        <f t="shared" si="131"/>
        <v>-151.4900000000016</v>
      </c>
      <c r="AM133" s="21">
        <f t="shared" si="132"/>
        <v>3158</v>
      </c>
    </row>
    <row r="134" spans="1:39" s="25" customFormat="1" x14ac:dyDescent="0.2">
      <c r="A134" s="19"/>
      <c r="B134" s="19"/>
      <c r="C134" s="19"/>
      <c r="D134" s="19"/>
      <c r="E134" s="19"/>
      <c r="F134" s="19"/>
      <c r="G134" s="19" t="s">
        <v>148</v>
      </c>
      <c r="H134" s="21"/>
      <c r="I134" s="21">
        <v>42309</v>
      </c>
      <c r="J134" s="21"/>
      <c r="K134" s="21">
        <v>43705</v>
      </c>
      <c r="L134" s="21"/>
      <c r="M134" s="21">
        <v>54362</v>
      </c>
      <c r="N134" s="21"/>
      <c r="O134" s="21">
        <v>48066.96</v>
      </c>
      <c r="P134" s="21"/>
      <c r="Q134" s="21">
        <v>44081.58</v>
      </c>
      <c r="R134" s="21"/>
      <c r="S134" s="22">
        <v>51043.77</v>
      </c>
      <c r="T134" s="22"/>
      <c r="U134" s="22"/>
      <c r="V134" s="22"/>
      <c r="W134" s="22">
        <v>24066.67</v>
      </c>
      <c r="X134" s="22"/>
      <c r="Y134" s="26">
        <v>40316</v>
      </c>
      <c r="AA134" s="26">
        <v>52820</v>
      </c>
      <c r="AB134" s="5"/>
      <c r="AC134" s="21">
        <f t="shared" si="126"/>
        <v>48251.861999999994</v>
      </c>
      <c r="AD134" s="21">
        <f>MAX(K134:S134)</f>
        <v>54362</v>
      </c>
      <c r="AE134" s="21">
        <f>MIN(K134:S134)</f>
        <v>43705</v>
      </c>
      <c r="AG134" s="21">
        <f t="shared" si="127"/>
        <v>-24185.191999999995</v>
      </c>
      <c r="AH134" s="21">
        <f t="shared" si="128"/>
        <v>-30295.33</v>
      </c>
      <c r="AI134" s="21">
        <f t="shared" si="129"/>
        <v>-19638.330000000002</v>
      </c>
      <c r="AK134" s="21">
        <f t="shared" si="130"/>
        <v>-7935.8619999999937</v>
      </c>
      <c r="AL134" s="21">
        <f t="shared" si="131"/>
        <v>-14046</v>
      </c>
      <c r="AM134" s="21">
        <f t="shared" si="132"/>
        <v>-3389</v>
      </c>
    </row>
    <row r="135" spans="1:39" s="25" customFormat="1" x14ac:dyDescent="0.2">
      <c r="A135" s="19"/>
      <c r="B135" s="19"/>
      <c r="C135" s="19"/>
      <c r="D135" s="19"/>
      <c r="E135" s="19"/>
      <c r="F135" s="19"/>
      <c r="G135" s="19" t="s">
        <v>149</v>
      </c>
      <c r="H135" s="21"/>
      <c r="I135" s="21">
        <v>4704</v>
      </c>
      <c r="J135" s="21"/>
      <c r="K135" s="21">
        <v>7710</v>
      </c>
      <c r="L135" s="21"/>
      <c r="M135" s="21">
        <v>6482</v>
      </c>
      <c r="N135" s="21"/>
      <c r="O135" s="21">
        <v>5333.59</v>
      </c>
      <c r="P135" s="21"/>
      <c r="Q135" s="21">
        <v>2182.23</v>
      </c>
      <c r="R135" s="21"/>
      <c r="S135" s="22">
        <v>5766.88</v>
      </c>
      <c r="T135" s="22"/>
      <c r="U135" s="22"/>
      <c r="V135" s="22"/>
      <c r="W135" s="22">
        <v>3440.03</v>
      </c>
      <c r="X135" s="22"/>
      <c r="Y135" s="26">
        <v>7285</v>
      </c>
      <c r="AA135" s="26">
        <v>7309</v>
      </c>
      <c r="AB135" s="5"/>
      <c r="AC135" s="21">
        <f t="shared" si="126"/>
        <v>5494.9400000000005</v>
      </c>
      <c r="AD135" s="21">
        <f>MAX(K135:S135)</f>
        <v>7710</v>
      </c>
      <c r="AE135" s="21">
        <f>MIN(K135:S135)</f>
        <v>2182.23</v>
      </c>
      <c r="AG135" s="21">
        <f t="shared" si="127"/>
        <v>-2054.9100000000003</v>
      </c>
      <c r="AH135" s="21">
        <f t="shared" si="128"/>
        <v>-4269.9699999999993</v>
      </c>
      <c r="AI135" s="21">
        <f t="shared" si="129"/>
        <v>1257.8000000000002</v>
      </c>
      <c r="AK135" s="21">
        <f t="shared" si="130"/>
        <v>1790.0599999999995</v>
      </c>
      <c r="AL135" s="21">
        <f t="shared" si="131"/>
        <v>-425</v>
      </c>
      <c r="AM135" s="21">
        <f t="shared" si="132"/>
        <v>5102.7700000000004</v>
      </c>
    </row>
    <row r="136" spans="1:39" s="25" customFormat="1" ht="12" thickBot="1" x14ac:dyDescent="0.25">
      <c r="A136" s="19"/>
      <c r="B136" s="19"/>
      <c r="C136" s="19"/>
      <c r="D136" s="19"/>
      <c r="E136" s="19"/>
      <c r="F136" s="19"/>
      <c r="G136" s="19" t="s">
        <v>150</v>
      </c>
      <c r="H136" s="21"/>
      <c r="I136" s="33"/>
      <c r="J136" s="21"/>
      <c r="K136" s="33"/>
      <c r="L136" s="21"/>
      <c r="M136" s="33"/>
      <c r="N136" s="21"/>
      <c r="O136" s="33"/>
      <c r="P136" s="33"/>
      <c r="Q136" s="33">
        <v>0</v>
      </c>
      <c r="R136" s="33"/>
      <c r="S136" s="34">
        <v>808.89</v>
      </c>
      <c r="T136" s="28"/>
      <c r="U136" s="28"/>
      <c r="V136" s="22"/>
      <c r="W136" s="34">
        <v>559.41999999999996</v>
      </c>
      <c r="X136" s="22"/>
      <c r="Y136" s="35">
        <v>850</v>
      </c>
      <c r="AA136" s="35">
        <f>+AA132*0.29/100</f>
        <v>898.69839999999999</v>
      </c>
      <c r="AB136" s="5"/>
      <c r="AC136" s="33">
        <f t="shared" si="126"/>
        <v>404.44499999999999</v>
      </c>
      <c r="AD136" s="33">
        <f>MAX(K136:S136)</f>
        <v>808.89</v>
      </c>
      <c r="AE136" s="33">
        <f>MIN(K136:S136)</f>
        <v>0</v>
      </c>
      <c r="AG136" s="33">
        <f t="shared" si="127"/>
        <v>154.97499999999997</v>
      </c>
      <c r="AH136" s="33">
        <f t="shared" si="128"/>
        <v>-249.47000000000003</v>
      </c>
      <c r="AI136" s="33">
        <f t="shared" si="129"/>
        <v>559.41999999999996</v>
      </c>
      <c r="AK136" s="33">
        <f t="shared" si="130"/>
        <v>445.55500000000001</v>
      </c>
      <c r="AL136" s="33">
        <f t="shared" si="131"/>
        <v>41.110000000000014</v>
      </c>
      <c r="AM136" s="33">
        <f t="shared" si="132"/>
        <v>850</v>
      </c>
    </row>
    <row r="137" spans="1:39" s="25" customFormat="1" x14ac:dyDescent="0.2">
      <c r="A137" s="19"/>
      <c r="B137" s="19"/>
      <c r="C137" s="19"/>
      <c r="D137" s="19"/>
      <c r="E137" s="19"/>
      <c r="F137" s="19" t="s">
        <v>151</v>
      </c>
      <c r="G137" s="19"/>
      <c r="H137" s="21"/>
      <c r="I137" s="21">
        <f>ROUND(SUM(I131:I136),5)</f>
        <v>270218</v>
      </c>
      <c r="J137" s="21"/>
      <c r="K137" s="21">
        <f>ROUND(SUM(K131:K136),5)</f>
        <v>283375</v>
      </c>
      <c r="L137" s="21"/>
      <c r="M137" s="21">
        <f>ROUND(SUM(M131:M136),5)</f>
        <v>291257</v>
      </c>
      <c r="N137" s="21"/>
      <c r="O137" s="21">
        <f>ROUND(SUM(O131:O136),5)</f>
        <v>319631.88</v>
      </c>
      <c r="P137" s="21"/>
      <c r="Q137" s="21">
        <f>ROUND(SUM(Q131:Q136),5)</f>
        <v>323685.83</v>
      </c>
      <c r="R137" s="21"/>
      <c r="S137" s="22">
        <f>ROUND(SUM(S131:S136),5)</f>
        <v>364601.62</v>
      </c>
      <c r="T137" s="22"/>
      <c r="U137" s="22"/>
      <c r="V137" s="22"/>
      <c r="W137" s="22">
        <f>ROUND(SUM(W131:W136),5)</f>
        <v>191478.86</v>
      </c>
      <c r="X137" s="22"/>
      <c r="Y137" s="26">
        <f>ROUND(SUM(Y131:Y136),5)</f>
        <v>363905</v>
      </c>
      <c r="AA137" s="26">
        <f>ROUND(SUM(AA131:AA136),5)</f>
        <v>394630.74239999999</v>
      </c>
      <c r="AB137" s="5"/>
      <c r="AC137" s="21">
        <f t="shared" ref="AC137:AE137" si="133">ROUND(SUM(AC131:AC136),5)</f>
        <v>316752.93300000002</v>
      </c>
      <c r="AD137" s="21">
        <f t="shared" si="133"/>
        <v>369862.97</v>
      </c>
      <c r="AE137" s="21">
        <f t="shared" si="133"/>
        <v>276300.23</v>
      </c>
      <c r="AG137" s="21">
        <f t="shared" ref="AG137:AI137" si="134">ROUND(SUM(AG131:AG136),5)</f>
        <v>-125274.073</v>
      </c>
      <c r="AH137" s="21">
        <f t="shared" si="134"/>
        <v>-178384.11</v>
      </c>
      <c r="AI137" s="21">
        <f t="shared" si="134"/>
        <v>-84821.37</v>
      </c>
      <c r="AK137" s="21">
        <f t="shared" ref="AK137:AM137" si="135">ROUND(SUM(AK131:AK136),5)</f>
        <v>47152.067000000003</v>
      </c>
      <c r="AL137" s="21">
        <f t="shared" si="135"/>
        <v>-5957.97</v>
      </c>
      <c r="AM137" s="21">
        <f t="shared" si="135"/>
        <v>87604.77</v>
      </c>
    </row>
    <row r="138" spans="1:39" s="25" customFormat="1" x14ac:dyDescent="0.2">
      <c r="A138" s="19"/>
      <c r="B138" s="19"/>
      <c r="C138" s="19"/>
      <c r="D138" s="19"/>
      <c r="E138" s="19"/>
      <c r="F138" s="19" t="s">
        <v>152</v>
      </c>
      <c r="G138" s="19"/>
      <c r="H138" s="21"/>
      <c r="I138" s="21"/>
      <c r="J138" s="21"/>
      <c r="K138" s="21"/>
      <c r="L138" s="21"/>
      <c r="M138" s="21"/>
      <c r="N138" s="21"/>
      <c r="O138" s="21"/>
      <c r="P138" s="21"/>
      <c r="Q138" s="21"/>
      <c r="R138" s="21"/>
      <c r="S138" s="22"/>
      <c r="T138" s="22"/>
      <c r="U138" s="22"/>
      <c r="V138" s="22"/>
      <c r="W138" s="22"/>
      <c r="X138" s="22"/>
      <c r="Y138" s="26"/>
      <c r="AA138" s="26"/>
      <c r="AB138" s="5"/>
      <c r="AC138" s="21"/>
      <c r="AD138" s="21"/>
      <c r="AE138" s="21"/>
      <c r="AG138" s="21"/>
      <c r="AH138" s="21"/>
      <c r="AI138" s="21"/>
      <c r="AK138" s="21"/>
      <c r="AL138" s="21"/>
      <c r="AM138" s="21"/>
    </row>
    <row r="139" spans="1:39" s="25" customFormat="1" x14ac:dyDescent="0.2">
      <c r="A139" s="19"/>
      <c r="B139" s="19"/>
      <c r="C139" s="19"/>
      <c r="D139" s="19"/>
      <c r="E139" s="19"/>
      <c r="F139" s="19"/>
      <c r="G139" s="19" t="s">
        <v>153</v>
      </c>
      <c r="H139" s="21"/>
      <c r="I139" s="21"/>
      <c r="J139" s="21"/>
      <c r="K139" s="21"/>
      <c r="L139" s="21"/>
      <c r="M139" s="21"/>
      <c r="N139" s="21"/>
      <c r="O139" s="21"/>
      <c r="P139" s="21"/>
      <c r="Q139" s="21">
        <v>11747.1</v>
      </c>
      <c r="R139" s="21"/>
      <c r="S139" s="22">
        <v>1195.3499999999999</v>
      </c>
      <c r="T139" s="22"/>
      <c r="U139" s="22"/>
      <c r="V139" s="22"/>
      <c r="W139" s="22">
        <v>0</v>
      </c>
      <c r="X139" s="22"/>
      <c r="Y139" s="26">
        <v>9600</v>
      </c>
      <c r="AA139" s="26"/>
      <c r="AB139" s="5"/>
      <c r="AC139" s="21">
        <f t="shared" ref="AC139:AC141" si="136">AVERAGE(K139:S139)</f>
        <v>6471.2250000000004</v>
      </c>
      <c r="AD139" s="21">
        <f>MAX(K139:S139)</f>
        <v>11747.1</v>
      </c>
      <c r="AE139" s="21">
        <f>MIN(K139:S139)</f>
        <v>1195.3499999999999</v>
      </c>
      <c r="AG139" s="21">
        <f t="shared" ref="AG139:AG141" si="137">+W139-AC139</f>
        <v>-6471.2250000000004</v>
      </c>
      <c r="AH139" s="21">
        <f t="shared" ref="AH139:AH141" si="138">+W139-AD139</f>
        <v>-11747.1</v>
      </c>
      <c r="AI139" s="21">
        <f t="shared" ref="AI139:AI141" si="139">+W139-AE139</f>
        <v>-1195.3499999999999</v>
      </c>
      <c r="AK139" s="21">
        <f t="shared" ref="AK139:AK141" si="140">+Y139-AC139</f>
        <v>3128.7749999999996</v>
      </c>
      <c r="AL139" s="21">
        <f t="shared" ref="AL139:AL141" si="141">+Y139-AD139</f>
        <v>-2147.1000000000004</v>
      </c>
      <c r="AM139" s="21">
        <f t="shared" ref="AM139:AM141" si="142">+Y139-AE139</f>
        <v>8404.65</v>
      </c>
    </row>
    <row r="140" spans="1:39" s="36" customFormat="1" x14ac:dyDescent="0.2">
      <c r="A140" s="19"/>
      <c r="B140" s="19"/>
      <c r="C140" s="19"/>
      <c r="D140" s="19"/>
      <c r="E140" s="19"/>
      <c r="F140" s="19"/>
      <c r="G140" s="19" t="s">
        <v>154</v>
      </c>
      <c r="H140" s="27"/>
      <c r="I140" s="27" t="s">
        <v>155</v>
      </c>
      <c r="J140" s="27"/>
      <c r="K140" s="27"/>
      <c r="L140" s="27"/>
      <c r="M140" s="27" t="s">
        <v>155</v>
      </c>
      <c r="N140" s="27"/>
      <c r="O140" s="27" t="s">
        <v>155</v>
      </c>
      <c r="P140" s="27"/>
      <c r="Q140" s="21">
        <v>996.63</v>
      </c>
      <c r="R140" s="21"/>
      <c r="S140" s="28">
        <v>110.57</v>
      </c>
      <c r="T140" s="28"/>
      <c r="U140" s="28"/>
      <c r="V140" s="28"/>
      <c r="W140" s="28">
        <v>0</v>
      </c>
      <c r="X140" s="28"/>
      <c r="Y140" s="29">
        <v>735</v>
      </c>
      <c r="AA140" s="29"/>
      <c r="AB140" s="43"/>
      <c r="AC140" s="27">
        <f t="shared" si="136"/>
        <v>553.6</v>
      </c>
      <c r="AD140" s="27">
        <f>MAX(K140:S140)</f>
        <v>996.63</v>
      </c>
      <c r="AE140" s="27">
        <f>MIN(K140:S140)</f>
        <v>110.57</v>
      </c>
      <c r="AF140" s="25"/>
      <c r="AG140" s="27">
        <f t="shared" si="137"/>
        <v>-553.6</v>
      </c>
      <c r="AH140" s="27">
        <f t="shared" si="138"/>
        <v>-996.63</v>
      </c>
      <c r="AI140" s="27">
        <f t="shared" si="139"/>
        <v>-110.57</v>
      </c>
      <c r="AJ140" s="25"/>
      <c r="AK140" s="27">
        <f t="shared" si="140"/>
        <v>181.39999999999998</v>
      </c>
      <c r="AL140" s="27">
        <f t="shared" si="141"/>
        <v>-261.63</v>
      </c>
      <c r="AM140" s="27">
        <f t="shared" si="142"/>
        <v>624.43000000000006</v>
      </c>
    </row>
    <row r="141" spans="1:39" s="25" customFormat="1" ht="12" thickBot="1" x14ac:dyDescent="0.25">
      <c r="A141" s="19"/>
      <c r="B141" s="19"/>
      <c r="C141" s="19"/>
      <c r="D141" s="19"/>
      <c r="E141" s="19"/>
      <c r="F141" s="19"/>
      <c r="G141" s="19" t="s">
        <v>150</v>
      </c>
      <c r="H141" s="21"/>
      <c r="I141" s="33"/>
      <c r="J141" s="21"/>
      <c r="K141" s="33"/>
      <c r="L141" s="21"/>
      <c r="M141" s="33"/>
      <c r="N141" s="21"/>
      <c r="O141" s="33"/>
      <c r="P141" s="33"/>
      <c r="Q141" s="33">
        <v>0</v>
      </c>
      <c r="R141" s="33"/>
      <c r="S141" s="35">
        <v>9.9499999999999993</v>
      </c>
      <c r="T141" s="28"/>
      <c r="U141" s="28"/>
      <c r="V141" s="22"/>
      <c r="W141" s="35">
        <v>4.3600000000000003</v>
      </c>
      <c r="X141" s="22"/>
      <c r="Y141" s="35">
        <v>28</v>
      </c>
      <c r="AA141" s="35"/>
      <c r="AB141" s="5"/>
      <c r="AC141" s="33">
        <f t="shared" si="136"/>
        <v>4.9749999999999996</v>
      </c>
      <c r="AD141" s="33">
        <f>MAX(K141:S141)</f>
        <v>9.9499999999999993</v>
      </c>
      <c r="AE141" s="33">
        <f>MIN(K141:S141)</f>
        <v>0</v>
      </c>
      <c r="AG141" s="33">
        <f t="shared" si="137"/>
        <v>-0.61499999999999932</v>
      </c>
      <c r="AH141" s="33">
        <f t="shared" si="138"/>
        <v>-5.589999999999999</v>
      </c>
      <c r="AI141" s="33">
        <f t="shared" si="139"/>
        <v>4.3600000000000003</v>
      </c>
      <c r="AK141" s="33">
        <f t="shared" si="140"/>
        <v>23.024999999999999</v>
      </c>
      <c r="AL141" s="33">
        <f t="shared" si="141"/>
        <v>18.05</v>
      </c>
      <c r="AM141" s="33">
        <f t="shared" si="142"/>
        <v>28</v>
      </c>
    </row>
    <row r="142" spans="1:39" s="25" customFormat="1" x14ac:dyDescent="0.2">
      <c r="A142" s="19"/>
      <c r="B142" s="19"/>
      <c r="C142" s="19"/>
      <c r="D142" s="19"/>
      <c r="E142" s="19"/>
      <c r="F142" s="19" t="s">
        <v>156</v>
      </c>
      <c r="G142" s="19"/>
      <c r="H142" s="21"/>
      <c r="I142" s="21">
        <f>ROUND(SUM(I138:I141),5)</f>
        <v>0</v>
      </c>
      <c r="J142" s="21"/>
      <c r="K142" s="21">
        <f>ROUND(SUM(K138:K141),5)</f>
        <v>0</v>
      </c>
      <c r="L142" s="21"/>
      <c r="M142" s="21">
        <f>ROUND(SUM(M138:M141),5)</f>
        <v>0</v>
      </c>
      <c r="N142" s="21"/>
      <c r="O142" s="21">
        <f>ROUND(SUM(O138:O141),5)</f>
        <v>0</v>
      </c>
      <c r="P142" s="21"/>
      <c r="Q142" s="21">
        <f>ROUND(SUM(Q138:Q141),5)</f>
        <v>12743.73</v>
      </c>
      <c r="R142" s="21"/>
      <c r="S142" s="22">
        <f>ROUND(SUM(S138:S141),5)</f>
        <v>1315.87</v>
      </c>
      <c r="T142" s="22"/>
      <c r="U142" s="22"/>
      <c r="V142" s="22"/>
      <c r="W142" s="22">
        <f>ROUND(SUM(W138:W141),5)</f>
        <v>4.3600000000000003</v>
      </c>
      <c r="X142" s="22"/>
      <c r="Y142" s="26">
        <f>ROUND(SUM(Y138:Y141),5)</f>
        <v>10363</v>
      </c>
      <c r="AA142" s="26">
        <f>ROUND(SUM(AA138:AA141),5)</f>
        <v>0</v>
      </c>
      <c r="AB142" s="5"/>
      <c r="AC142" s="21">
        <f>ROUND(SUM(AC138:AC141),5)</f>
        <v>7029.8</v>
      </c>
      <c r="AD142" s="21">
        <f>ROUND(SUM(AD138:AD141),5)</f>
        <v>12753.68</v>
      </c>
      <c r="AE142" s="21">
        <f>ROUND(SUM(AE138:AE141),5)</f>
        <v>1305.92</v>
      </c>
      <c r="AG142" s="21">
        <f>ROUND(SUM(AG138:AG141),5)</f>
        <v>-7025.44</v>
      </c>
      <c r="AH142" s="21">
        <f>ROUND(SUM(AH138:AH141),5)</f>
        <v>-12749.32</v>
      </c>
      <c r="AI142" s="21">
        <f>ROUND(SUM(AI138:AI141),5)</f>
        <v>-1301.56</v>
      </c>
      <c r="AK142" s="21">
        <f>ROUND(SUM(AK138:AK141),5)</f>
        <v>3333.2</v>
      </c>
      <c r="AL142" s="21">
        <f>ROUND(SUM(AL138:AL141),5)</f>
        <v>-2390.6799999999998</v>
      </c>
      <c r="AM142" s="21">
        <f>ROUND(SUM(AM138:AM141),5)</f>
        <v>9057.08</v>
      </c>
    </row>
    <row r="143" spans="1:39" s="25" customFormat="1" x14ac:dyDescent="0.2">
      <c r="A143" s="19"/>
      <c r="B143" s="19"/>
      <c r="C143" s="19"/>
      <c r="D143" s="19"/>
      <c r="E143" s="19"/>
      <c r="F143" s="19" t="s">
        <v>157</v>
      </c>
      <c r="G143" s="19"/>
      <c r="H143" s="21"/>
      <c r="I143" s="21"/>
      <c r="J143" s="21"/>
      <c r="K143" s="21"/>
      <c r="L143" s="21"/>
      <c r="M143" s="21"/>
      <c r="N143" s="21"/>
      <c r="O143" s="21"/>
      <c r="P143" s="21"/>
      <c r="Q143" s="21"/>
      <c r="R143" s="21"/>
      <c r="S143" s="22"/>
      <c r="T143" s="22"/>
      <c r="U143" s="22"/>
      <c r="V143" s="22"/>
      <c r="W143" s="22"/>
      <c r="X143" s="22"/>
      <c r="Y143" s="26"/>
      <c r="AA143" s="26"/>
      <c r="AC143" s="21"/>
      <c r="AD143" s="21"/>
      <c r="AE143" s="21"/>
      <c r="AG143" s="21"/>
      <c r="AH143" s="21"/>
      <c r="AI143" s="21"/>
      <c r="AK143" s="21"/>
      <c r="AL143" s="21"/>
      <c r="AM143" s="21"/>
    </row>
    <row r="144" spans="1:39" s="25" customFormat="1" x14ac:dyDescent="0.2">
      <c r="A144" s="19"/>
      <c r="B144" s="19"/>
      <c r="C144" s="19"/>
      <c r="D144" s="19"/>
      <c r="E144" s="19"/>
      <c r="F144" s="19"/>
      <c r="G144" s="19" t="s">
        <v>158</v>
      </c>
      <c r="H144" s="21"/>
      <c r="I144" s="21">
        <f>6576+6455+54</f>
        <v>13085</v>
      </c>
      <c r="J144" s="21"/>
      <c r="K144" s="21">
        <f>9273+9659</f>
        <v>18932</v>
      </c>
      <c r="L144" s="21"/>
      <c r="M144" s="21">
        <f>10298+11258</f>
        <v>21556</v>
      </c>
      <c r="N144" s="21"/>
      <c r="O144" s="21">
        <f>10740.23+12246.53</f>
        <v>22986.760000000002</v>
      </c>
      <c r="P144" s="21"/>
      <c r="Q144" s="21">
        <v>16425</v>
      </c>
      <c r="R144" s="21"/>
      <c r="S144" s="22">
        <v>16956.72</v>
      </c>
      <c r="T144" s="22"/>
      <c r="U144" s="22"/>
      <c r="V144" s="22"/>
      <c r="W144" s="22">
        <v>8590.1299999999992</v>
      </c>
      <c r="X144" s="22"/>
      <c r="Y144" s="26">
        <v>16500</v>
      </c>
      <c r="AA144" s="26">
        <v>16500</v>
      </c>
      <c r="AC144" s="21">
        <f t="shared" ref="AC144:AC147" si="143">AVERAGE(K144:S144)</f>
        <v>19371.296000000002</v>
      </c>
      <c r="AD144" s="21">
        <f>MAX(K144:S144)</f>
        <v>22986.760000000002</v>
      </c>
      <c r="AE144" s="21">
        <f>MIN(K144:S144)</f>
        <v>16425</v>
      </c>
      <c r="AG144" s="21">
        <f t="shared" ref="AG144:AG147" si="144">+W144-AC144</f>
        <v>-10781.166000000003</v>
      </c>
      <c r="AH144" s="21">
        <f t="shared" ref="AH144:AH147" si="145">+W144-AD144</f>
        <v>-14396.630000000003</v>
      </c>
      <c r="AI144" s="21">
        <f t="shared" ref="AI144:AI147" si="146">+W144-AE144</f>
        <v>-7834.8700000000008</v>
      </c>
      <c r="AK144" s="21">
        <f t="shared" ref="AK144:AK147" si="147">+Y144-AC144</f>
        <v>-2871.2960000000021</v>
      </c>
      <c r="AL144" s="21">
        <f t="shared" ref="AL144:AL147" si="148">+Y144-AD144</f>
        <v>-6486.760000000002</v>
      </c>
      <c r="AM144" s="21">
        <f t="shared" ref="AM144:AM147" si="149">+Y144-AE144</f>
        <v>75</v>
      </c>
    </row>
    <row r="145" spans="1:39" s="25" customFormat="1" x14ac:dyDescent="0.2">
      <c r="A145" s="19"/>
      <c r="B145" s="19"/>
      <c r="C145" s="19"/>
      <c r="D145" s="19"/>
      <c r="E145" s="19"/>
      <c r="F145" s="19"/>
      <c r="G145" s="19" t="s">
        <v>159</v>
      </c>
      <c r="H145" s="21"/>
      <c r="I145" s="21"/>
      <c r="J145" s="21"/>
      <c r="K145" s="21"/>
      <c r="L145" s="21"/>
      <c r="M145" s="21"/>
      <c r="N145" s="21"/>
      <c r="O145" s="21"/>
      <c r="P145" s="21"/>
      <c r="Q145" s="21">
        <v>2957.73</v>
      </c>
      <c r="R145" s="21"/>
      <c r="S145" s="22">
        <v>2400</v>
      </c>
      <c r="T145" s="22"/>
      <c r="U145" s="22"/>
      <c r="V145" s="22"/>
      <c r="W145" s="22">
        <v>1400</v>
      </c>
      <c r="X145" s="22"/>
      <c r="Y145" s="26">
        <v>2600</v>
      </c>
      <c r="AA145" s="26">
        <v>2600</v>
      </c>
      <c r="AC145" s="21">
        <f t="shared" si="143"/>
        <v>2678.8649999999998</v>
      </c>
      <c r="AD145" s="21">
        <f>MAX(K145:S145)</f>
        <v>2957.73</v>
      </c>
      <c r="AE145" s="21">
        <f>MIN(K145:S145)</f>
        <v>2400</v>
      </c>
      <c r="AG145" s="21">
        <f t="shared" si="144"/>
        <v>-1278.8649999999998</v>
      </c>
      <c r="AH145" s="21">
        <f t="shared" si="145"/>
        <v>-1557.73</v>
      </c>
      <c r="AI145" s="21">
        <f t="shared" si="146"/>
        <v>-1000</v>
      </c>
      <c r="AK145" s="21">
        <f t="shared" si="147"/>
        <v>-78.864999999999782</v>
      </c>
      <c r="AL145" s="21">
        <f t="shared" si="148"/>
        <v>-357.73</v>
      </c>
      <c r="AM145" s="21">
        <f t="shared" si="149"/>
        <v>200</v>
      </c>
    </row>
    <row r="146" spans="1:39" s="25" customFormat="1" x14ac:dyDescent="0.2">
      <c r="A146" s="19"/>
      <c r="B146" s="19"/>
      <c r="C146" s="19"/>
      <c r="D146" s="19"/>
      <c r="E146" s="19"/>
      <c r="F146" s="19"/>
      <c r="G146" s="19" t="s">
        <v>160</v>
      </c>
      <c r="H146" s="21"/>
      <c r="I146" s="21"/>
      <c r="J146" s="21"/>
      <c r="K146" s="21"/>
      <c r="L146" s="21"/>
      <c r="M146" s="21"/>
      <c r="N146" s="21"/>
      <c r="O146" s="21"/>
      <c r="P146" s="21"/>
      <c r="Q146" s="21">
        <v>200</v>
      </c>
      <c r="R146" s="21"/>
      <c r="S146" s="22">
        <v>205.5</v>
      </c>
      <c r="T146" s="22"/>
      <c r="U146" s="22"/>
      <c r="V146" s="22"/>
      <c r="W146" s="22">
        <v>211.5</v>
      </c>
      <c r="X146" s="22"/>
      <c r="Y146" s="26">
        <v>500</v>
      </c>
      <c r="AA146" s="26">
        <v>500</v>
      </c>
      <c r="AC146" s="21">
        <f t="shared" si="143"/>
        <v>202.75</v>
      </c>
      <c r="AD146" s="21">
        <f>MAX(K146:S146)</f>
        <v>205.5</v>
      </c>
      <c r="AE146" s="21">
        <f>MIN(K146:S146)</f>
        <v>200</v>
      </c>
      <c r="AG146" s="21">
        <f t="shared" si="144"/>
        <v>8.75</v>
      </c>
      <c r="AH146" s="21">
        <f t="shared" si="145"/>
        <v>6</v>
      </c>
      <c r="AI146" s="21">
        <f t="shared" si="146"/>
        <v>11.5</v>
      </c>
      <c r="AK146" s="21">
        <f t="shared" si="147"/>
        <v>297.25</v>
      </c>
      <c r="AL146" s="21">
        <f t="shared" si="148"/>
        <v>294.5</v>
      </c>
      <c r="AM146" s="21">
        <f t="shared" si="149"/>
        <v>300</v>
      </c>
    </row>
    <row r="147" spans="1:39" s="25" customFormat="1" ht="12" thickBot="1" x14ac:dyDescent="0.25">
      <c r="A147" s="19"/>
      <c r="B147" s="19"/>
      <c r="C147" s="19"/>
      <c r="D147" s="19"/>
      <c r="E147" s="19"/>
      <c r="F147" s="19"/>
      <c r="G147" s="19" t="s">
        <v>161</v>
      </c>
      <c r="H147" s="21"/>
      <c r="I147" s="33">
        <v>9104</v>
      </c>
      <c r="J147" s="21"/>
      <c r="K147" s="33">
        <v>8898</v>
      </c>
      <c r="L147" s="21"/>
      <c r="M147" s="33">
        <v>9700</v>
      </c>
      <c r="N147" s="21"/>
      <c r="O147" s="33">
        <v>8000.31</v>
      </c>
      <c r="P147" s="33"/>
      <c r="Q147" s="33">
        <v>3486.63</v>
      </c>
      <c r="R147" s="33"/>
      <c r="S147" s="34">
        <v>5250.66</v>
      </c>
      <c r="T147" s="28"/>
      <c r="U147" s="28"/>
      <c r="V147" s="22"/>
      <c r="W147" s="34">
        <v>18365.939999999999</v>
      </c>
      <c r="X147" s="22"/>
      <c r="Y147" s="35">
        <v>6000</v>
      </c>
      <c r="AA147" s="35">
        <v>5000</v>
      </c>
      <c r="AC147" s="33">
        <f t="shared" si="143"/>
        <v>7067.1200000000008</v>
      </c>
      <c r="AD147" s="33">
        <f>MAX(K147:S147)</f>
        <v>9700</v>
      </c>
      <c r="AE147" s="33">
        <f>MIN(K147:S147)</f>
        <v>3486.63</v>
      </c>
      <c r="AG147" s="33">
        <f t="shared" si="144"/>
        <v>11298.819999999998</v>
      </c>
      <c r="AH147" s="33">
        <f t="shared" si="145"/>
        <v>8665.9399999999987</v>
      </c>
      <c r="AI147" s="33">
        <f t="shared" si="146"/>
        <v>14879.309999999998</v>
      </c>
      <c r="AK147" s="33">
        <f t="shared" si="147"/>
        <v>-1067.1200000000008</v>
      </c>
      <c r="AL147" s="33">
        <f t="shared" si="148"/>
        <v>-3700</v>
      </c>
      <c r="AM147" s="33">
        <f t="shared" si="149"/>
        <v>2513.37</v>
      </c>
    </row>
    <row r="148" spans="1:39" s="25" customFormat="1" x14ac:dyDescent="0.2">
      <c r="A148" s="19"/>
      <c r="B148" s="19"/>
      <c r="C148" s="19"/>
      <c r="D148" s="19"/>
      <c r="E148" s="19"/>
      <c r="F148" s="19" t="s">
        <v>162</v>
      </c>
      <c r="G148" s="19"/>
      <c r="H148" s="21"/>
      <c r="I148" s="21">
        <f>ROUND(SUM(I143:I147),5)</f>
        <v>22189</v>
      </c>
      <c r="J148" s="21"/>
      <c r="K148" s="21">
        <f>ROUND(SUM(K143:K147),5)</f>
        <v>27830</v>
      </c>
      <c r="L148" s="21"/>
      <c r="M148" s="21">
        <f>ROUND(SUM(M143:M147),5)</f>
        <v>31256</v>
      </c>
      <c r="N148" s="21"/>
      <c r="O148" s="21">
        <f>ROUND(SUM(O143:O147),5)</f>
        <v>30987.07</v>
      </c>
      <c r="P148" s="21"/>
      <c r="Q148" s="21">
        <f>ROUND(SUM(Q143:Q147),5)</f>
        <v>23069.360000000001</v>
      </c>
      <c r="R148" s="21"/>
      <c r="S148" s="22">
        <f>ROUND(SUM(S143:S147),5)</f>
        <v>24812.880000000001</v>
      </c>
      <c r="T148" s="22"/>
      <c r="U148" s="22"/>
      <c r="V148" s="22"/>
      <c r="W148" s="22">
        <f>ROUND(SUM(W143:W147),5)</f>
        <v>28567.57</v>
      </c>
      <c r="X148" s="22"/>
      <c r="Y148" s="26">
        <f>ROUND(SUM(Y143:Y147),5)</f>
        <v>25600</v>
      </c>
      <c r="AA148" s="26">
        <f>ROUND(SUM(AA143:AA147),5)</f>
        <v>24600</v>
      </c>
      <c r="AC148" s="21">
        <f t="shared" ref="AC148:AE148" si="150">ROUND(SUM(AC143:AC147),5)</f>
        <v>29320.030999999999</v>
      </c>
      <c r="AD148" s="21">
        <f t="shared" si="150"/>
        <v>35849.99</v>
      </c>
      <c r="AE148" s="21">
        <f t="shared" si="150"/>
        <v>22511.63</v>
      </c>
      <c r="AG148" s="21">
        <f t="shared" ref="AG148:AI148" si="151">ROUND(SUM(AG143:AG147),5)</f>
        <v>-752.46100000000001</v>
      </c>
      <c r="AH148" s="21">
        <f t="shared" si="151"/>
        <v>-7282.42</v>
      </c>
      <c r="AI148" s="21">
        <f t="shared" si="151"/>
        <v>6055.94</v>
      </c>
      <c r="AK148" s="21">
        <f t="shared" ref="AK148:AM148" si="152">ROUND(SUM(AK143:AK147),5)</f>
        <v>-3720.0309999999999</v>
      </c>
      <c r="AL148" s="21">
        <f t="shared" si="152"/>
        <v>-10249.99</v>
      </c>
      <c r="AM148" s="21">
        <f t="shared" si="152"/>
        <v>3088.37</v>
      </c>
    </row>
    <row r="149" spans="1:39" s="25" customFormat="1" x14ac:dyDescent="0.2">
      <c r="A149" s="19"/>
      <c r="B149" s="19"/>
      <c r="C149" s="19"/>
      <c r="D149" s="19"/>
      <c r="E149" s="19"/>
      <c r="F149" s="19" t="s">
        <v>163</v>
      </c>
      <c r="G149" s="19"/>
      <c r="H149" s="21"/>
      <c r="I149" s="21"/>
      <c r="J149" s="21"/>
      <c r="K149" s="21"/>
      <c r="L149" s="21"/>
      <c r="M149" s="21"/>
      <c r="N149" s="21"/>
      <c r="O149" s="21"/>
      <c r="P149" s="21"/>
      <c r="Q149" s="21"/>
      <c r="R149" s="21"/>
      <c r="S149" s="22"/>
      <c r="T149" s="22"/>
      <c r="U149" s="22"/>
      <c r="V149" s="22"/>
      <c r="W149" s="22"/>
      <c r="X149" s="22"/>
      <c r="Y149" s="26"/>
      <c r="AA149" s="26"/>
      <c r="AC149" s="21"/>
      <c r="AD149" s="21"/>
      <c r="AE149" s="21"/>
      <c r="AG149" s="21"/>
      <c r="AH149" s="21"/>
      <c r="AI149" s="21"/>
      <c r="AK149" s="21"/>
      <c r="AL149" s="21"/>
      <c r="AM149" s="21"/>
    </row>
    <row r="150" spans="1:39" s="25" customFormat="1" ht="12" thickBot="1" x14ac:dyDescent="0.25">
      <c r="A150" s="19"/>
      <c r="B150" s="19"/>
      <c r="C150" s="19"/>
      <c r="D150" s="19"/>
      <c r="E150" s="19"/>
      <c r="F150" s="19"/>
      <c r="G150" s="19" t="s">
        <v>164</v>
      </c>
      <c r="H150" s="21"/>
      <c r="I150" s="33"/>
      <c r="J150" s="21"/>
      <c r="K150" s="33">
        <v>315</v>
      </c>
      <c r="L150" s="21"/>
      <c r="M150" s="33">
        <v>290</v>
      </c>
      <c r="N150" s="21"/>
      <c r="O150" s="33">
        <v>148.4</v>
      </c>
      <c r="P150" s="33"/>
      <c r="Q150" s="33">
        <v>819.44</v>
      </c>
      <c r="R150" s="33"/>
      <c r="S150" s="34">
        <v>959.26</v>
      </c>
      <c r="T150" s="28"/>
      <c r="U150" s="28"/>
      <c r="V150" s="22"/>
      <c r="W150" s="34">
        <v>0</v>
      </c>
      <c r="X150" s="22"/>
      <c r="Y150" s="35">
        <v>900</v>
      </c>
      <c r="AA150" s="35">
        <v>500</v>
      </c>
      <c r="AC150" s="33">
        <f>AVERAGE(K150:S150)</f>
        <v>506.42000000000007</v>
      </c>
      <c r="AD150" s="33">
        <f>MAX(H150:O150)</f>
        <v>315</v>
      </c>
      <c r="AE150" s="33">
        <f>MIN(H150:O150)</f>
        <v>148.4</v>
      </c>
      <c r="AG150" s="33">
        <f>+W150-AC150</f>
        <v>-506.42000000000007</v>
      </c>
      <c r="AH150" s="33">
        <f>+W150-AD150</f>
        <v>-315</v>
      </c>
      <c r="AI150" s="33">
        <f>+W150-AE150</f>
        <v>-148.4</v>
      </c>
      <c r="AK150" s="33">
        <f>+Y150-AC150</f>
        <v>393.57999999999993</v>
      </c>
      <c r="AL150" s="33">
        <f>+Y150-AD150</f>
        <v>585</v>
      </c>
      <c r="AM150" s="33">
        <f>+Y150-AE150</f>
        <v>751.6</v>
      </c>
    </row>
    <row r="151" spans="1:39" s="25" customFormat="1" x14ac:dyDescent="0.2">
      <c r="A151" s="19"/>
      <c r="B151" s="19"/>
      <c r="C151" s="19"/>
      <c r="D151" s="19"/>
      <c r="E151" s="19"/>
      <c r="F151" s="19" t="s">
        <v>165</v>
      </c>
      <c r="G151" s="19"/>
      <c r="H151" s="21"/>
      <c r="I151" s="21">
        <f>ROUND(SUM(I149:I150),5)</f>
        <v>0</v>
      </c>
      <c r="J151" s="21"/>
      <c r="K151" s="21">
        <f>ROUND(SUM(K149:K150),5)</f>
        <v>315</v>
      </c>
      <c r="L151" s="21"/>
      <c r="M151" s="21">
        <f>ROUND(SUM(M149:M150),5)</f>
        <v>290</v>
      </c>
      <c r="N151" s="21"/>
      <c r="O151" s="21">
        <f>ROUND(SUM(O149:O150),5)</f>
        <v>148.4</v>
      </c>
      <c r="P151" s="21"/>
      <c r="Q151" s="21">
        <f>ROUND(SUM(Q149:Q150),5)</f>
        <v>819.44</v>
      </c>
      <c r="R151" s="21"/>
      <c r="S151" s="22">
        <f>ROUND(SUM(S149:S150),5)</f>
        <v>959.26</v>
      </c>
      <c r="T151" s="22"/>
      <c r="U151" s="22"/>
      <c r="V151" s="22"/>
      <c r="W151" s="22">
        <f>ROUND(SUM(W149:W150),5)</f>
        <v>0</v>
      </c>
      <c r="X151" s="22"/>
      <c r="Y151" s="26">
        <f>ROUND(SUM(Y149:Y150),5)</f>
        <v>900</v>
      </c>
      <c r="AA151" s="26">
        <f>ROUND(SUM(AA149:AA150),5)</f>
        <v>500</v>
      </c>
      <c r="AC151" s="21">
        <f t="shared" ref="AC151:AE151" si="153">ROUND(SUM(AC149:AC150),5)</f>
        <v>506.42</v>
      </c>
      <c r="AD151" s="21">
        <f t="shared" si="153"/>
        <v>315</v>
      </c>
      <c r="AE151" s="21">
        <f t="shared" si="153"/>
        <v>148.4</v>
      </c>
      <c r="AG151" s="21">
        <f t="shared" ref="AG151:AI151" si="154">ROUND(SUM(AG149:AG150),5)</f>
        <v>-506.42</v>
      </c>
      <c r="AH151" s="21">
        <f t="shared" si="154"/>
        <v>-315</v>
      </c>
      <c r="AI151" s="21">
        <f t="shared" si="154"/>
        <v>-148.4</v>
      </c>
      <c r="AK151" s="21">
        <f t="shared" ref="AK151:AM151" si="155">ROUND(SUM(AK149:AK150),5)</f>
        <v>393.58</v>
      </c>
      <c r="AL151" s="21">
        <f t="shared" si="155"/>
        <v>585</v>
      </c>
      <c r="AM151" s="21">
        <f t="shared" si="155"/>
        <v>751.6</v>
      </c>
    </row>
    <row r="152" spans="1:39" s="25" customFormat="1" x14ac:dyDescent="0.2">
      <c r="A152" s="19"/>
      <c r="B152" s="19"/>
      <c r="C152" s="19"/>
      <c r="D152" s="19"/>
      <c r="E152" s="19"/>
      <c r="F152" s="19" t="s">
        <v>166</v>
      </c>
      <c r="G152" s="19"/>
      <c r="H152" s="21"/>
      <c r="I152" s="21"/>
      <c r="J152" s="21"/>
      <c r="K152" s="21"/>
      <c r="L152" s="21"/>
      <c r="M152" s="21"/>
      <c r="N152" s="21"/>
      <c r="O152" s="21"/>
      <c r="P152" s="21"/>
      <c r="Q152" s="21"/>
      <c r="R152" s="21"/>
      <c r="S152" s="22"/>
      <c r="T152" s="22"/>
      <c r="U152" s="22"/>
      <c r="V152" s="22"/>
      <c r="W152" s="22"/>
      <c r="X152" s="22"/>
      <c r="Y152" s="26"/>
      <c r="AA152" s="26"/>
      <c r="AC152" s="21"/>
      <c r="AD152" s="21"/>
      <c r="AE152" s="21"/>
      <c r="AG152" s="21"/>
      <c r="AH152" s="21"/>
      <c r="AI152" s="21"/>
      <c r="AK152" s="21"/>
      <c r="AL152" s="21"/>
      <c r="AM152" s="21"/>
    </row>
    <row r="153" spans="1:39" s="25" customFormat="1" x14ac:dyDescent="0.2">
      <c r="A153" s="19"/>
      <c r="B153" s="19"/>
      <c r="C153" s="19"/>
      <c r="D153" s="19"/>
      <c r="E153" s="19"/>
      <c r="F153" s="19"/>
      <c r="G153" s="19" t="s">
        <v>167</v>
      </c>
      <c r="H153" s="21"/>
      <c r="I153" s="21">
        <v>4562</v>
      </c>
      <c r="J153" s="21"/>
      <c r="K153" s="21">
        <v>6850</v>
      </c>
      <c r="L153" s="21"/>
      <c r="M153" s="21">
        <v>10745</v>
      </c>
      <c r="N153" s="21"/>
      <c r="O153" s="21">
        <v>11411.43</v>
      </c>
      <c r="P153" s="21"/>
      <c r="Q153" s="21">
        <v>5508.94</v>
      </c>
      <c r="R153" s="21"/>
      <c r="S153" s="22">
        <v>5334.6</v>
      </c>
      <c r="T153" s="22"/>
      <c r="U153" s="22"/>
      <c r="V153" s="22"/>
      <c r="W153" s="22">
        <v>1895.85</v>
      </c>
      <c r="X153" s="22"/>
      <c r="Y153" s="26">
        <v>7500</v>
      </c>
      <c r="AA153" s="26">
        <v>5000</v>
      </c>
      <c r="AC153" s="21">
        <f t="shared" ref="AC153:AC160" si="156">AVERAGE(K153:S153)</f>
        <v>7969.9940000000006</v>
      </c>
      <c r="AD153" s="21">
        <f t="shared" ref="AD153:AD160" si="157">MAX(K153:S153)</f>
        <v>11411.43</v>
      </c>
      <c r="AE153" s="21">
        <f t="shared" ref="AE153:AE160" si="158">MIN(K153:S153)</f>
        <v>5334.6</v>
      </c>
      <c r="AG153" s="21">
        <f t="shared" ref="AG153:AG160" si="159">+W153-AC153</f>
        <v>-6074.1440000000002</v>
      </c>
      <c r="AH153" s="21">
        <f t="shared" ref="AH153:AH160" si="160">+W153-AD153</f>
        <v>-9515.58</v>
      </c>
      <c r="AI153" s="21">
        <f t="shared" ref="AI153:AI160" si="161">+W153-AE153</f>
        <v>-3438.7500000000005</v>
      </c>
      <c r="AK153" s="21">
        <f t="shared" ref="AK153:AK160" si="162">+Y153-AC153</f>
        <v>-469.9940000000006</v>
      </c>
      <c r="AL153" s="21">
        <f t="shared" ref="AL153:AL160" si="163">+Y153-AD153</f>
        <v>-3911.4300000000003</v>
      </c>
      <c r="AM153" s="21">
        <f t="shared" ref="AM153:AM160" si="164">+Y153-AE153</f>
        <v>2165.3999999999996</v>
      </c>
    </row>
    <row r="154" spans="1:39" s="25" customFormat="1" x14ac:dyDescent="0.2">
      <c r="A154" s="19"/>
      <c r="B154" s="19"/>
      <c r="C154" s="19"/>
      <c r="D154" s="19"/>
      <c r="E154" s="19"/>
      <c r="F154" s="19"/>
      <c r="G154" s="19" t="s">
        <v>168</v>
      </c>
      <c r="H154" s="21"/>
      <c r="I154" s="21">
        <v>44786</v>
      </c>
      <c r="J154" s="21"/>
      <c r="K154" s="21">
        <v>56235</v>
      </c>
      <c r="L154" s="21"/>
      <c r="M154" s="21">
        <v>81329</v>
      </c>
      <c r="N154" s="21"/>
      <c r="O154" s="21">
        <v>117408.85</v>
      </c>
      <c r="P154" s="21"/>
      <c r="Q154" s="21">
        <v>190511.95</v>
      </c>
      <c r="R154" s="21"/>
      <c r="S154" s="22">
        <v>86882.05</v>
      </c>
      <c r="T154" s="22"/>
      <c r="U154" s="22"/>
      <c r="V154" s="22"/>
      <c r="W154" s="22">
        <v>62430</v>
      </c>
      <c r="X154" s="22"/>
      <c r="Y154" s="26">
        <v>67838</v>
      </c>
      <c r="AA154" s="26">
        <v>50000</v>
      </c>
      <c r="AC154" s="21">
        <f t="shared" si="156"/>
        <v>106473.37000000002</v>
      </c>
      <c r="AD154" s="21">
        <f t="shared" si="157"/>
        <v>190511.95</v>
      </c>
      <c r="AE154" s="21">
        <f t="shared" si="158"/>
        <v>56235</v>
      </c>
      <c r="AG154" s="21">
        <f t="shared" si="159"/>
        <v>-44043.370000000024</v>
      </c>
      <c r="AH154" s="21">
        <f t="shared" si="160"/>
        <v>-128081.95000000001</v>
      </c>
      <c r="AI154" s="21">
        <f t="shared" si="161"/>
        <v>6195</v>
      </c>
      <c r="AK154" s="21">
        <f t="shared" si="162"/>
        <v>-38635.370000000024</v>
      </c>
      <c r="AL154" s="21">
        <f t="shared" si="163"/>
        <v>-122673.95000000001</v>
      </c>
      <c r="AM154" s="21">
        <f t="shared" si="164"/>
        <v>11603</v>
      </c>
    </row>
    <row r="155" spans="1:39" s="25" customFormat="1" x14ac:dyDescent="0.2">
      <c r="A155" s="19"/>
      <c r="B155" s="19"/>
      <c r="C155" s="19"/>
      <c r="D155" s="19"/>
      <c r="E155" s="19"/>
      <c r="F155" s="19"/>
      <c r="G155" s="19" t="s">
        <v>169</v>
      </c>
      <c r="H155" s="21"/>
      <c r="I155" s="21">
        <v>88135</v>
      </c>
      <c r="J155" s="21"/>
      <c r="K155" s="21">
        <v>79165</v>
      </c>
      <c r="L155" s="21"/>
      <c r="M155" s="21">
        <v>77839</v>
      </c>
      <c r="N155" s="21"/>
      <c r="O155" s="21">
        <v>76800.210000000006</v>
      </c>
      <c r="P155" s="21"/>
      <c r="Q155" s="21">
        <v>81305.5</v>
      </c>
      <c r="R155" s="21"/>
      <c r="S155" s="22">
        <v>65918.240000000005</v>
      </c>
      <c r="T155" s="22"/>
      <c r="U155" s="22"/>
      <c r="V155" s="22"/>
      <c r="W155" s="22">
        <v>26622.240000000002</v>
      </c>
      <c r="X155" s="22"/>
      <c r="Y155" s="26">
        <v>73977</v>
      </c>
      <c r="AA155" s="26">
        <v>74000</v>
      </c>
      <c r="AC155" s="21">
        <f t="shared" si="156"/>
        <v>76205.59</v>
      </c>
      <c r="AD155" s="21">
        <f t="shared" si="157"/>
        <v>81305.5</v>
      </c>
      <c r="AE155" s="21">
        <f t="shared" si="158"/>
        <v>65918.240000000005</v>
      </c>
      <c r="AG155" s="21">
        <f t="shared" si="159"/>
        <v>-49583.349999999991</v>
      </c>
      <c r="AH155" s="21">
        <f t="shared" si="160"/>
        <v>-54683.259999999995</v>
      </c>
      <c r="AI155" s="21">
        <f t="shared" si="161"/>
        <v>-39296</v>
      </c>
      <c r="AK155" s="21">
        <f t="shared" si="162"/>
        <v>-2228.5899999999965</v>
      </c>
      <c r="AL155" s="21">
        <f t="shared" si="163"/>
        <v>-7328.5</v>
      </c>
      <c r="AM155" s="21">
        <f t="shared" si="164"/>
        <v>8058.7599999999948</v>
      </c>
    </row>
    <row r="156" spans="1:39" s="25" customFormat="1" x14ac:dyDescent="0.2">
      <c r="A156" s="19"/>
      <c r="B156" s="19"/>
      <c r="C156" s="19"/>
      <c r="D156" s="19"/>
      <c r="E156" s="19"/>
      <c r="F156" s="19"/>
      <c r="G156" s="19" t="s">
        <v>170</v>
      </c>
      <c r="H156" s="21"/>
      <c r="I156" s="21"/>
      <c r="J156" s="21"/>
      <c r="K156" s="21"/>
      <c r="L156" s="21"/>
      <c r="M156" s="21"/>
      <c r="N156" s="21"/>
      <c r="O156" s="21">
        <v>85</v>
      </c>
      <c r="P156" s="21"/>
      <c r="Q156" s="21">
        <v>2850</v>
      </c>
      <c r="R156" s="21"/>
      <c r="S156" s="22">
        <v>2784.59</v>
      </c>
      <c r="T156" s="22"/>
      <c r="U156" s="22"/>
      <c r="V156" s="22"/>
      <c r="W156" s="22">
        <v>69.989999999999995</v>
      </c>
      <c r="X156" s="22"/>
      <c r="Y156" s="26">
        <v>3000</v>
      </c>
      <c r="AA156" s="26">
        <v>2500</v>
      </c>
      <c r="AC156" s="21">
        <f t="shared" si="156"/>
        <v>1906.53</v>
      </c>
      <c r="AD156" s="21">
        <f t="shared" si="157"/>
        <v>2850</v>
      </c>
      <c r="AE156" s="21">
        <f t="shared" si="158"/>
        <v>85</v>
      </c>
      <c r="AG156" s="21">
        <f t="shared" si="159"/>
        <v>-1836.54</v>
      </c>
      <c r="AH156" s="21">
        <f t="shared" si="160"/>
        <v>-2780.01</v>
      </c>
      <c r="AI156" s="21">
        <f t="shared" si="161"/>
        <v>-15.010000000000005</v>
      </c>
      <c r="AK156" s="21">
        <f t="shared" si="162"/>
        <v>1093.47</v>
      </c>
      <c r="AL156" s="21">
        <f t="shared" si="163"/>
        <v>150</v>
      </c>
      <c r="AM156" s="21">
        <f t="shared" si="164"/>
        <v>2915</v>
      </c>
    </row>
    <row r="157" spans="1:39" s="25" customFormat="1" x14ac:dyDescent="0.2">
      <c r="A157" s="19"/>
      <c r="B157" s="19"/>
      <c r="C157" s="19"/>
      <c r="D157" s="19"/>
      <c r="E157" s="19"/>
      <c r="F157" s="19"/>
      <c r="G157" s="19" t="s">
        <v>171</v>
      </c>
      <c r="H157" s="21"/>
      <c r="I157" s="21"/>
      <c r="J157" s="21"/>
      <c r="K157" s="21"/>
      <c r="L157" s="21"/>
      <c r="M157" s="21"/>
      <c r="N157" s="21"/>
      <c r="O157" s="21"/>
      <c r="P157" s="21"/>
      <c r="Q157" s="21">
        <v>5024.32</v>
      </c>
      <c r="R157" s="21"/>
      <c r="S157" s="22">
        <v>4655.99</v>
      </c>
      <c r="T157" s="22"/>
      <c r="U157" s="22"/>
      <c r="V157" s="22"/>
      <c r="W157" s="22">
        <v>428</v>
      </c>
      <c r="X157" s="22"/>
      <c r="Y157" s="26">
        <v>5000</v>
      </c>
      <c r="AA157" s="26">
        <v>2500</v>
      </c>
      <c r="AC157" s="21">
        <f t="shared" si="156"/>
        <v>4840.1549999999997</v>
      </c>
      <c r="AD157" s="21">
        <f t="shared" si="157"/>
        <v>5024.32</v>
      </c>
      <c r="AE157" s="21">
        <f t="shared" si="158"/>
        <v>4655.99</v>
      </c>
      <c r="AG157" s="21">
        <f t="shared" si="159"/>
        <v>-4412.1549999999997</v>
      </c>
      <c r="AH157" s="21">
        <f t="shared" si="160"/>
        <v>-4596.32</v>
      </c>
      <c r="AI157" s="21">
        <f t="shared" si="161"/>
        <v>-4227.99</v>
      </c>
      <c r="AK157" s="21">
        <f t="shared" si="162"/>
        <v>159.84500000000025</v>
      </c>
      <c r="AL157" s="21">
        <f t="shared" si="163"/>
        <v>-24.319999999999709</v>
      </c>
      <c r="AM157" s="21">
        <f t="shared" si="164"/>
        <v>344.01000000000022</v>
      </c>
    </row>
    <row r="158" spans="1:39" s="25" customFormat="1" x14ac:dyDescent="0.2">
      <c r="A158" s="19"/>
      <c r="B158" s="19"/>
      <c r="C158" s="19"/>
      <c r="D158" s="19"/>
      <c r="E158" s="19"/>
      <c r="F158" s="19"/>
      <c r="G158" s="19" t="s">
        <v>172</v>
      </c>
      <c r="H158" s="21"/>
      <c r="I158" s="21">
        <v>11572</v>
      </c>
      <c r="J158" s="21"/>
      <c r="K158" s="21">
        <v>19433</v>
      </c>
      <c r="L158" s="21"/>
      <c r="M158" s="21">
        <v>29013</v>
      </c>
      <c r="N158" s="21"/>
      <c r="O158" s="21">
        <v>20234.29</v>
      </c>
      <c r="P158" s="21"/>
      <c r="Q158" s="21">
        <v>16654.560000000001</v>
      </c>
      <c r="R158" s="21"/>
      <c r="S158" s="22">
        <v>13045.35</v>
      </c>
      <c r="T158" s="22"/>
      <c r="U158" s="22"/>
      <c r="V158" s="22"/>
      <c r="W158" s="22">
        <v>4476.17</v>
      </c>
      <c r="X158" s="22"/>
      <c r="Y158" s="26">
        <v>15000</v>
      </c>
      <c r="AA158" s="26">
        <v>10000</v>
      </c>
      <c r="AC158" s="21">
        <f t="shared" si="156"/>
        <v>19676.04</v>
      </c>
      <c r="AD158" s="21">
        <f t="shared" si="157"/>
        <v>29013</v>
      </c>
      <c r="AE158" s="21">
        <f t="shared" si="158"/>
        <v>13045.35</v>
      </c>
      <c r="AG158" s="21">
        <f t="shared" si="159"/>
        <v>-15199.87</v>
      </c>
      <c r="AH158" s="21">
        <f t="shared" si="160"/>
        <v>-24536.83</v>
      </c>
      <c r="AI158" s="21">
        <f t="shared" si="161"/>
        <v>-8569.18</v>
      </c>
      <c r="AK158" s="21">
        <f t="shared" si="162"/>
        <v>-4676.0400000000009</v>
      </c>
      <c r="AL158" s="21">
        <f t="shared" si="163"/>
        <v>-14013</v>
      </c>
      <c r="AM158" s="21">
        <f t="shared" si="164"/>
        <v>1954.6499999999996</v>
      </c>
    </row>
    <row r="159" spans="1:39" s="25" customFormat="1" x14ac:dyDescent="0.2">
      <c r="A159" s="19"/>
      <c r="B159" s="19"/>
      <c r="C159" s="19"/>
      <c r="D159" s="19"/>
      <c r="E159" s="19"/>
      <c r="F159" s="19"/>
      <c r="G159" s="19" t="s">
        <v>173</v>
      </c>
      <c r="H159" s="21"/>
      <c r="I159" s="21"/>
      <c r="J159" s="21"/>
      <c r="K159" s="21"/>
      <c r="L159" s="21"/>
      <c r="M159" s="21"/>
      <c r="N159" s="21"/>
      <c r="O159" s="21"/>
      <c r="P159" s="21"/>
      <c r="Q159" s="21">
        <v>1896.19</v>
      </c>
      <c r="R159" s="21"/>
      <c r="S159" s="22">
        <v>2640.75</v>
      </c>
      <c r="T159" s="22"/>
      <c r="U159" s="22"/>
      <c r="V159" s="22"/>
      <c r="W159" s="22">
        <v>2822.48</v>
      </c>
      <c r="X159" s="22"/>
      <c r="Y159" s="26">
        <v>2000</v>
      </c>
      <c r="AA159" s="26">
        <v>4000</v>
      </c>
      <c r="AC159" s="21">
        <f t="shared" si="156"/>
        <v>2268.4700000000003</v>
      </c>
      <c r="AD159" s="21">
        <f t="shared" si="157"/>
        <v>2640.75</v>
      </c>
      <c r="AE159" s="21">
        <f t="shared" si="158"/>
        <v>1896.19</v>
      </c>
      <c r="AG159" s="21">
        <f t="shared" si="159"/>
        <v>554.00999999999976</v>
      </c>
      <c r="AH159" s="21">
        <f t="shared" si="160"/>
        <v>181.73000000000002</v>
      </c>
      <c r="AI159" s="21">
        <f t="shared" si="161"/>
        <v>926.29</v>
      </c>
      <c r="AK159" s="21">
        <f t="shared" si="162"/>
        <v>-268.47000000000025</v>
      </c>
      <c r="AL159" s="21">
        <f t="shared" si="163"/>
        <v>-640.75</v>
      </c>
      <c r="AM159" s="21">
        <f t="shared" si="164"/>
        <v>103.80999999999995</v>
      </c>
    </row>
    <row r="160" spans="1:39" s="25" customFormat="1" ht="12" thickBot="1" x14ac:dyDescent="0.25">
      <c r="A160" s="19"/>
      <c r="B160" s="19"/>
      <c r="C160" s="19"/>
      <c r="D160" s="19"/>
      <c r="E160" s="19"/>
      <c r="F160" s="19"/>
      <c r="G160" s="19" t="s">
        <v>174</v>
      </c>
      <c r="H160" s="21"/>
      <c r="I160" s="27">
        <v>9428</v>
      </c>
      <c r="J160" s="21"/>
      <c r="K160" s="27">
        <v>12249</v>
      </c>
      <c r="L160" s="21"/>
      <c r="M160" s="27">
        <v>19854</v>
      </c>
      <c r="N160" s="21"/>
      <c r="O160" s="27">
        <v>19238.939999999999</v>
      </c>
      <c r="P160" s="27"/>
      <c r="Q160" s="21">
        <v>8903.7900000000009</v>
      </c>
      <c r="R160" s="21"/>
      <c r="S160" s="22">
        <v>4082.49</v>
      </c>
      <c r="T160" s="28"/>
      <c r="U160" s="28"/>
      <c r="V160" s="22"/>
      <c r="W160" s="22">
        <v>1740.73</v>
      </c>
      <c r="X160" s="22"/>
      <c r="Y160" s="29">
        <v>11000</v>
      </c>
      <c r="AA160" s="29">
        <v>7500</v>
      </c>
      <c r="AC160" s="27">
        <f t="shared" si="156"/>
        <v>12865.644</v>
      </c>
      <c r="AD160" s="27">
        <f t="shared" si="157"/>
        <v>19854</v>
      </c>
      <c r="AE160" s="27">
        <f t="shared" si="158"/>
        <v>4082.49</v>
      </c>
      <c r="AG160" s="27">
        <f t="shared" si="159"/>
        <v>-11124.914000000001</v>
      </c>
      <c r="AH160" s="27">
        <f t="shared" si="160"/>
        <v>-18113.27</v>
      </c>
      <c r="AI160" s="27">
        <f t="shared" si="161"/>
        <v>-2341.7599999999998</v>
      </c>
      <c r="AK160" s="27">
        <f t="shared" si="162"/>
        <v>-1865.6440000000002</v>
      </c>
      <c r="AL160" s="27">
        <f t="shared" si="163"/>
        <v>-8854</v>
      </c>
      <c r="AM160" s="27">
        <f t="shared" si="164"/>
        <v>6917.51</v>
      </c>
    </row>
    <row r="161" spans="1:40" s="25" customFormat="1" ht="12" thickBot="1" x14ac:dyDescent="0.25">
      <c r="A161" s="19"/>
      <c r="B161" s="19"/>
      <c r="C161" s="19"/>
      <c r="D161" s="19"/>
      <c r="E161" s="19"/>
      <c r="F161" s="19" t="s">
        <v>175</v>
      </c>
      <c r="G161" s="19"/>
      <c r="H161" s="21"/>
      <c r="I161" s="30">
        <f>ROUND(SUM(I152:I160),5)</f>
        <v>158483</v>
      </c>
      <c r="J161" s="21"/>
      <c r="K161" s="30">
        <f>ROUND(SUM(K152:K160),5)</f>
        <v>173932</v>
      </c>
      <c r="L161" s="21"/>
      <c r="M161" s="30">
        <f>ROUND(SUM(M152:M160),5)</f>
        <v>218780</v>
      </c>
      <c r="N161" s="21"/>
      <c r="O161" s="30">
        <f>ROUND(SUM(O152:O160),5)</f>
        <v>245178.72</v>
      </c>
      <c r="P161" s="30"/>
      <c r="Q161" s="30">
        <f>ROUND(SUM(Q152:Q160),5)</f>
        <v>312655.25</v>
      </c>
      <c r="R161" s="30"/>
      <c r="S161" s="31">
        <f>ROUND(SUM(S152:S160),5)</f>
        <v>185344.06</v>
      </c>
      <c r="T161" s="28"/>
      <c r="U161" s="28"/>
      <c r="V161" s="22"/>
      <c r="W161" s="31">
        <f>ROUND(SUM(W152:W160),5)</f>
        <v>100485.46</v>
      </c>
      <c r="X161" s="22"/>
      <c r="Y161" s="32">
        <f>ROUND(SUM(Y152:Y160),5)</f>
        <v>185315</v>
      </c>
      <c r="AA161" s="32">
        <f>ROUND(SUM(AA152:AA160),5)</f>
        <v>155500</v>
      </c>
      <c r="AC161" s="30">
        <f t="shared" ref="AC161:AE161" si="165">ROUND(SUM(AC152:AC160),5)</f>
        <v>232205.79300000001</v>
      </c>
      <c r="AD161" s="30">
        <f t="shared" si="165"/>
        <v>342610.95</v>
      </c>
      <c r="AE161" s="30">
        <f t="shared" si="165"/>
        <v>151252.85999999999</v>
      </c>
      <c r="AG161" s="30">
        <f t="shared" ref="AG161:AI161" si="166">ROUND(SUM(AG152:AG160),5)</f>
        <v>-131720.33300000001</v>
      </c>
      <c r="AH161" s="30">
        <f t="shared" si="166"/>
        <v>-242125.49</v>
      </c>
      <c r="AI161" s="30">
        <f t="shared" si="166"/>
        <v>-50767.4</v>
      </c>
      <c r="AK161" s="30">
        <f t="shared" ref="AK161:AM161" si="167">ROUND(SUM(AK152:AK160),5)</f>
        <v>-46890.792999999998</v>
      </c>
      <c r="AL161" s="30">
        <f t="shared" si="167"/>
        <v>-157295.95000000001</v>
      </c>
      <c r="AM161" s="30">
        <f t="shared" si="167"/>
        <v>34062.14</v>
      </c>
    </row>
    <row r="162" spans="1:40" s="25" customFormat="1" x14ac:dyDescent="0.2">
      <c r="A162" s="19"/>
      <c r="B162" s="19"/>
      <c r="C162" s="19"/>
      <c r="D162" s="19"/>
      <c r="E162" s="40" t="s">
        <v>176</v>
      </c>
      <c r="F162" s="19"/>
      <c r="G162" s="19"/>
      <c r="H162" s="21"/>
      <c r="I162" s="21">
        <f>ROUND(I130+I137+I142+I148+I151+I161,5)</f>
        <v>450890</v>
      </c>
      <c r="J162" s="21"/>
      <c r="K162" s="21">
        <f>ROUND(K130+K137+K142+K148+K151+K161,5)</f>
        <v>485452</v>
      </c>
      <c r="L162" s="21"/>
      <c r="M162" s="21">
        <f>ROUND(M130+M137+M142+M148+M151+M161,5)</f>
        <v>541583</v>
      </c>
      <c r="N162" s="21"/>
      <c r="O162" s="21">
        <f>ROUND(O130+O137+O142+O148+O151+O161,5)</f>
        <v>595946.06999999995</v>
      </c>
      <c r="P162" s="21"/>
      <c r="Q162" s="21">
        <f>ROUND(Q130+Q137+Q142+Q148+Q151+Q161,5)</f>
        <v>672973.61</v>
      </c>
      <c r="R162" s="21"/>
      <c r="S162" s="22">
        <f>ROUND(S130+S137+S142+S148+S151+S161,5)</f>
        <v>577033.68999999994</v>
      </c>
      <c r="T162" s="22"/>
      <c r="U162" s="22"/>
      <c r="V162" s="22"/>
      <c r="W162" s="22">
        <f>ROUND(W130+W137+W142+W148+W151+W161,5)</f>
        <v>320536.25</v>
      </c>
      <c r="X162" s="22"/>
      <c r="Y162" s="26">
        <f>ROUND(Y130+Y137+Y142+Y148+Y151+Y161,5)</f>
        <v>586083</v>
      </c>
      <c r="AA162" s="26">
        <f>ROUND(AA130+AA137+AA142+AA148+AA151+AA161,5)</f>
        <v>575230.74239999999</v>
      </c>
      <c r="AC162" s="21">
        <f t="shared" ref="AC162:AE162" si="168">ROUND(AC130+AC137+AC142+AC148+AC151+AC161,5)</f>
        <v>585814.97699999996</v>
      </c>
      <c r="AD162" s="21">
        <f t="shared" si="168"/>
        <v>761392.59</v>
      </c>
      <c r="AE162" s="21">
        <f t="shared" si="168"/>
        <v>451519.04</v>
      </c>
      <c r="AG162" s="21">
        <f>ROUND(AG130+AG137+AG142+AG148+AG151+AG161,5)</f>
        <v>-265278.72700000001</v>
      </c>
      <c r="AH162" s="21">
        <f>ROUND(AH130+AH137+AH142+AH148+AH151+AH161,5)</f>
        <v>-440856.34</v>
      </c>
      <c r="AI162" s="21">
        <f>ROUND(AI130+AI137+AI142+AI148+AI151+AI161,5)</f>
        <v>-130982.79</v>
      </c>
      <c r="AK162" s="21">
        <f>ROUND(AK130+AK137+AK142+AK148+AK151+AK161,5)</f>
        <v>268.02300000000002</v>
      </c>
      <c r="AL162" s="21">
        <f>ROUND(AL130+AL137+AL142+AL148+AL151+AL161,5)</f>
        <v>-175309.59</v>
      </c>
      <c r="AM162" s="21">
        <f>ROUND(AM130+AM137+AM142+AM148+AM151+AM161,5)</f>
        <v>134563.96</v>
      </c>
    </row>
    <row r="163" spans="1:40" s="25" customFormat="1" x14ac:dyDescent="0.2">
      <c r="A163" s="19"/>
      <c r="B163" s="19"/>
      <c r="C163" s="19"/>
      <c r="D163" s="19"/>
      <c r="E163" s="19"/>
      <c r="F163" s="19"/>
      <c r="G163" s="19"/>
      <c r="H163" s="21"/>
      <c r="I163" s="21"/>
      <c r="J163" s="21"/>
      <c r="K163" s="21"/>
      <c r="L163" s="21"/>
      <c r="M163" s="21"/>
      <c r="N163" s="21"/>
      <c r="O163" s="21"/>
      <c r="P163" s="21"/>
      <c r="Q163" s="21"/>
      <c r="R163" s="21"/>
      <c r="S163" s="22"/>
      <c r="T163" s="22"/>
      <c r="U163" s="22"/>
      <c r="V163" s="22"/>
      <c r="W163" s="22"/>
      <c r="X163" s="22"/>
      <c r="Y163" s="26"/>
      <c r="AA163" s="26"/>
      <c r="AC163" s="21"/>
      <c r="AD163" s="21"/>
      <c r="AE163" s="21"/>
      <c r="AG163" s="21"/>
      <c r="AH163" s="21"/>
      <c r="AI163" s="21"/>
      <c r="AK163" s="21"/>
      <c r="AL163" s="21"/>
      <c r="AM163" s="21"/>
    </row>
    <row r="164" spans="1:40" s="25" customFormat="1" x14ac:dyDescent="0.2">
      <c r="A164" s="19"/>
      <c r="B164" s="19"/>
      <c r="C164" s="19"/>
      <c r="D164" s="19"/>
      <c r="E164" s="40" t="s">
        <v>177</v>
      </c>
      <c r="F164" s="19"/>
      <c r="G164" s="19"/>
      <c r="H164" s="21"/>
      <c r="I164" s="21"/>
      <c r="J164" s="21"/>
      <c r="K164" s="21"/>
      <c r="L164" s="21"/>
      <c r="M164" s="21"/>
      <c r="N164" s="21"/>
      <c r="O164" s="21"/>
      <c r="P164" s="21"/>
      <c r="Q164" s="21"/>
      <c r="R164" s="21"/>
      <c r="S164" s="22"/>
      <c r="T164" s="22"/>
      <c r="U164" s="22"/>
      <c r="V164" s="22"/>
      <c r="W164" s="22"/>
      <c r="X164" s="22"/>
      <c r="Y164" s="26"/>
      <c r="AA164" s="26"/>
      <c r="AC164" s="21"/>
      <c r="AD164" s="21"/>
      <c r="AE164" s="21"/>
      <c r="AG164" s="21"/>
      <c r="AH164" s="21"/>
      <c r="AI164" s="21"/>
      <c r="AK164" s="21"/>
      <c r="AL164" s="21"/>
      <c r="AM164" s="21"/>
    </row>
    <row r="165" spans="1:40" s="25" customFormat="1" x14ac:dyDescent="0.2">
      <c r="A165" s="19"/>
      <c r="B165" s="19"/>
      <c r="C165" s="19"/>
      <c r="D165" s="19"/>
      <c r="E165" s="19"/>
      <c r="F165" s="19" t="s">
        <v>178</v>
      </c>
      <c r="G165" s="19"/>
      <c r="H165" s="21"/>
      <c r="I165" s="21"/>
      <c r="J165" s="21"/>
      <c r="K165" s="21"/>
      <c r="L165" s="21"/>
      <c r="M165" s="21"/>
      <c r="N165" s="21"/>
      <c r="O165" s="21"/>
      <c r="P165" s="21"/>
      <c r="Q165" s="21"/>
      <c r="R165" s="21"/>
      <c r="S165" s="22"/>
      <c r="T165" s="22"/>
      <c r="U165" s="22"/>
      <c r="V165" s="22"/>
      <c r="W165" s="22"/>
      <c r="X165" s="22"/>
      <c r="Y165" s="26"/>
      <c r="AA165" s="26"/>
      <c r="AC165" s="21"/>
      <c r="AD165" s="21"/>
      <c r="AE165" s="21"/>
      <c r="AG165" s="21"/>
      <c r="AH165" s="21"/>
      <c r="AI165" s="21"/>
      <c r="AK165" s="21"/>
      <c r="AL165" s="21"/>
      <c r="AM165" s="21"/>
    </row>
    <row r="166" spans="1:40" s="25" customFormat="1" x14ac:dyDescent="0.2">
      <c r="A166" s="19"/>
      <c r="B166" s="19"/>
      <c r="C166" s="19"/>
      <c r="D166" s="19"/>
      <c r="E166" s="19"/>
      <c r="F166" s="19"/>
      <c r="G166" s="19" t="s">
        <v>179</v>
      </c>
      <c r="H166" s="21"/>
      <c r="I166" s="21">
        <v>587493</v>
      </c>
      <c r="J166" s="21"/>
      <c r="K166" s="21">
        <v>581647</v>
      </c>
      <c r="L166" s="21"/>
      <c r="M166" s="21">
        <v>528042</v>
      </c>
      <c r="N166" s="21"/>
      <c r="O166" s="21">
        <v>514245.02</v>
      </c>
      <c r="P166" s="21"/>
      <c r="Q166" s="21">
        <v>541982.52</v>
      </c>
      <c r="R166" s="21"/>
      <c r="S166" s="22">
        <v>543489.18000000005</v>
      </c>
      <c r="T166" s="22"/>
      <c r="U166" s="22"/>
      <c r="V166" s="22"/>
      <c r="W166" s="22">
        <v>393470.32</v>
      </c>
      <c r="X166" s="22"/>
      <c r="Y166" s="26">
        <v>628500</v>
      </c>
      <c r="AA166" s="26">
        <v>664580</v>
      </c>
      <c r="AB166" s="5"/>
      <c r="AC166" s="21">
        <f t="shared" ref="AC166:AC172" si="169">AVERAGE(K166:S166)</f>
        <v>541881.14400000009</v>
      </c>
      <c r="AD166" s="21">
        <f t="shared" ref="AD166:AD172" si="170">MAX(K166:S166)</f>
        <v>581647</v>
      </c>
      <c r="AE166" s="21">
        <f t="shared" ref="AE166:AE172" si="171">MIN(K166:S166)</f>
        <v>514245.02</v>
      </c>
      <c r="AG166" s="21">
        <f t="shared" ref="AG166:AG172" si="172">+W166-AC166</f>
        <v>-148410.82400000008</v>
      </c>
      <c r="AH166" s="21">
        <f t="shared" ref="AH166:AH172" si="173">+W166-AD166</f>
        <v>-188176.68</v>
      </c>
      <c r="AI166" s="21">
        <f t="shared" ref="AI166:AI172" si="174">+W166-AE166</f>
        <v>-120774.70000000001</v>
      </c>
      <c r="AK166" s="21">
        <f t="shared" ref="AK166:AK172" si="175">+Y166-AC166</f>
        <v>86618.855999999912</v>
      </c>
      <c r="AL166" s="21">
        <f t="shared" ref="AL166:AL172" si="176">+Y166-AD166</f>
        <v>46853</v>
      </c>
      <c r="AM166" s="21">
        <f t="shared" ref="AM166:AM172" si="177">+Y166-AE166</f>
        <v>114254.97999999998</v>
      </c>
    </row>
    <row r="167" spans="1:40" s="25" customFormat="1" x14ac:dyDescent="0.2">
      <c r="A167" s="19"/>
      <c r="B167" s="19"/>
      <c r="C167" s="19"/>
      <c r="D167" s="19"/>
      <c r="E167" s="19"/>
      <c r="F167" s="19"/>
      <c r="G167" s="24" t="s">
        <v>180</v>
      </c>
      <c r="H167" s="21"/>
      <c r="I167" s="21">
        <v>29214</v>
      </c>
      <c r="J167" s="21"/>
      <c r="K167" s="21">
        <v>21451</v>
      </c>
      <c r="L167" s="21"/>
      <c r="M167" s="21">
        <v>20480</v>
      </c>
      <c r="N167" s="21"/>
      <c r="O167" s="21">
        <v>3800</v>
      </c>
      <c r="P167" s="21"/>
      <c r="Q167" s="21">
        <v>9764</v>
      </c>
      <c r="R167" s="21"/>
      <c r="S167" s="22">
        <v>20614.75</v>
      </c>
      <c r="T167" s="22"/>
      <c r="U167" s="22"/>
      <c r="V167" s="22"/>
      <c r="W167" s="22">
        <v>0</v>
      </c>
      <c r="X167" s="22"/>
      <c r="Y167" s="26">
        <v>20000</v>
      </c>
      <c r="AA167" s="26">
        <v>20000</v>
      </c>
      <c r="AB167" s="5"/>
      <c r="AC167" s="21">
        <f t="shared" si="169"/>
        <v>15221.95</v>
      </c>
      <c r="AD167" s="21">
        <f t="shared" si="170"/>
        <v>21451</v>
      </c>
      <c r="AE167" s="21">
        <f t="shared" si="171"/>
        <v>3800</v>
      </c>
      <c r="AG167" s="21">
        <f t="shared" si="172"/>
        <v>-15221.95</v>
      </c>
      <c r="AH167" s="21">
        <f t="shared" si="173"/>
        <v>-21451</v>
      </c>
      <c r="AI167" s="21">
        <f t="shared" si="174"/>
        <v>-3800</v>
      </c>
      <c r="AK167" s="21">
        <f t="shared" si="175"/>
        <v>4778.0499999999993</v>
      </c>
      <c r="AL167" s="21">
        <f t="shared" si="176"/>
        <v>-1451</v>
      </c>
      <c r="AM167" s="21">
        <f t="shared" si="177"/>
        <v>16200</v>
      </c>
    </row>
    <row r="168" spans="1:40" s="25" customFormat="1" x14ac:dyDescent="0.2">
      <c r="A168" s="19"/>
      <c r="B168" s="19"/>
      <c r="C168" s="19"/>
      <c r="D168" s="19"/>
      <c r="E168" s="19"/>
      <c r="F168" s="19"/>
      <c r="G168" s="19" t="s">
        <v>181</v>
      </c>
      <c r="H168" s="21"/>
      <c r="I168" s="21">
        <v>52971</v>
      </c>
      <c r="J168" s="21"/>
      <c r="K168" s="21">
        <v>51746</v>
      </c>
      <c r="L168" s="21"/>
      <c r="M168" s="21">
        <v>45081</v>
      </c>
      <c r="N168" s="21"/>
      <c r="O168" s="21">
        <v>42449.7</v>
      </c>
      <c r="P168" s="21"/>
      <c r="Q168" s="21">
        <v>44484.160000000003</v>
      </c>
      <c r="R168" s="21"/>
      <c r="S168" s="22">
        <v>45124.01</v>
      </c>
      <c r="T168" s="22"/>
      <c r="U168" s="22"/>
      <c r="V168" s="22"/>
      <c r="W168" s="22">
        <v>29014.799999999999</v>
      </c>
      <c r="X168" s="22"/>
      <c r="Y168" s="26">
        <v>50375</v>
      </c>
      <c r="AA168" s="26">
        <f>+(AA166+20000)*0.0765</f>
        <v>52370.37</v>
      </c>
      <c r="AB168" s="5"/>
      <c r="AC168" s="21">
        <f t="shared" si="169"/>
        <v>45776.974000000002</v>
      </c>
      <c r="AD168" s="21">
        <f t="shared" si="170"/>
        <v>51746</v>
      </c>
      <c r="AE168" s="21">
        <f t="shared" si="171"/>
        <v>42449.7</v>
      </c>
      <c r="AG168" s="21">
        <f t="shared" si="172"/>
        <v>-16762.174000000003</v>
      </c>
      <c r="AH168" s="21">
        <f t="shared" si="173"/>
        <v>-22731.200000000001</v>
      </c>
      <c r="AI168" s="21">
        <f t="shared" si="174"/>
        <v>-13434.899999999998</v>
      </c>
      <c r="AK168" s="21">
        <f t="shared" si="175"/>
        <v>4598.025999999998</v>
      </c>
      <c r="AL168" s="21">
        <f t="shared" si="176"/>
        <v>-1371</v>
      </c>
      <c r="AM168" s="21">
        <f t="shared" si="177"/>
        <v>7925.3000000000029</v>
      </c>
    </row>
    <row r="169" spans="1:40" s="25" customFormat="1" x14ac:dyDescent="0.2">
      <c r="A169" s="19"/>
      <c r="B169" s="19"/>
      <c r="C169" s="19"/>
      <c r="D169" s="19"/>
      <c r="E169" s="19"/>
      <c r="F169" s="19"/>
      <c r="G169" s="19" t="s">
        <v>182</v>
      </c>
      <c r="H169" s="21"/>
      <c r="I169" s="21">
        <v>128888</v>
      </c>
      <c r="J169" s="21"/>
      <c r="K169" s="21">
        <v>146217</v>
      </c>
      <c r="L169" s="21"/>
      <c r="M169" s="21">
        <v>150959</v>
      </c>
      <c r="N169" s="21"/>
      <c r="O169" s="21">
        <v>137623.9</v>
      </c>
      <c r="P169" s="21"/>
      <c r="Q169" s="21">
        <v>151455.93</v>
      </c>
      <c r="R169" s="21"/>
      <c r="S169" s="22">
        <v>145936.26999999999</v>
      </c>
      <c r="T169" s="22"/>
      <c r="U169" s="22"/>
      <c r="V169" s="22"/>
      <c r="W169" s="22">
        <v>91728.77</v>
      </c>
      <c r="X169" s="22"/>
      <c r="Y169" s="26">
        <v>168843</v>
      </c>
      <c r="AA169" s="26">
        <v>157632</v>
      </c>
      <c r="AB169" s="5"/>
      <c r="AC169" s="21">
        <f t="shared" si="169"/>
        <v>146438.42000000001</v>
      </c>
      <c r="AD169" s="21">
        <f t="shared" si="170"/>
        <v>151455.93</v>
      </c>
      <c r="AE169" s="21">
        <f t="shared" si="171"/>
        <v>137623.9</v>
      </c>
      <c r="AG169" s="21">
        <f t="shared" si="172"/>
        <v>-54709.650000000009</v>
      </c>
      <c r="AH169" s="21">
        <f t="shared" si="173"/>
        <v>-59727.159999999989</v>
      </c>
      <c r="AI169" s="21">
        <f t="shared" si="174"/>
        <v>-45895.12999999999</v>
      </c>
      <c r="AK169" s="21">
        <f t="shared" si="175"/>
        <v>22404.579999999987</v>
      </c>
      <c r="AL169" s="21">
        <f t="shared" si="176"/>
        <v>17387.070000000007</v>
      </c>
      <c r="AM169" s="21">
        <f t="shared" si="177"/>
        <v>31219.100000000006</v>
      </c>
    </row>
    <row r="170" spans="1:40" s="25" customFormat="1" x14ac:dyDescent="0.2">
      <c r="A170" s="19"/>
      <c r="B170" s="19"/>
      <c r="C170" s="19"/>
      <c r="D170" s="19"/>
      <c r="E170" s="19"/>
      <c r="F170" s="19"/>
      <c r="G170" s="19" t="s">
        <v>183</v>
      </c>
      <c r="H170" s="21"/>
      <c r="I170" s="21">
        <v>58884</v>
      </c>
      <c r="J170" s="21"/>
      <c r="K170" s="21">
        <v>58305</v>
      </c>
      <c r="L170" s="21"/>
      <c r="M170" s="21">
        <v>57194</v>
      </c>
      <c r="N170" s="21"/>
      <c r="O170" s="21">
        <v>51669.31</v>
      </c>
      <c r="P170" s="21"/>
      <c r="Q170" s="21">
        <v>67350.73</v>
      </c>
      <c r="R170" s="21"/>
      <c r="S170" s="22">
        <v>70836.23</v>
      </c>
      <c r="T170" s="22"/>
      <c r="U170" s="22"/>
      <c r="V170" s="22"/>
      <c r="W170" s="22">
        <v>48129.2</v>
      </c>
      <c r="X170" s="22"/>
      <c r="Y170" s="26">
        <v>87317</v>
      </c>
      <c r="AA170" s="26">
        <v>86163</v>
      </c>
      <c r="AB170" s="5"/>
      <c r="AC170" s="21">
        <f t="shared" si="169"/>
        <v>61071.053999999989</v>
      </c>
      <c r="AD170" s="21">
        <f t="shared" si="170"/>
        <v>70836.23</v>
      </c>
      <c r="AE170" s="21">
        <f t="shared" si="171"/>
        <v>51669.31</v>
      </c>
      <c r="AG170" s="21">
        <f t="shared" si="172"/>
        <v>-12941.853999999992</v>
      </c>
      <c r="AH170" s="21">
        <f t="shared" si="173"/>
        <v>-22707.03</v>
      </c>
      <c r="AI170" s="21">
        <f t="shared" si="174"/>
        <v>-3540.1100000000006</v>
      </c>
      <c r="AK170" s="21">
        <f t="shared" si="175"/>
        <v>26245.946000000011</v>
      </c>
      <c r="AL170" s="21">
        <f t="shared" si="176"/>
        <v>16480.770000000004</v>
      </c>
      <c r="AM170" s="21">
        <f t="shared" si="177"/>
        <v>35647.69</v>
      </c>
    </row>
    <row r="171" spans="1:40" s="25" customFormat="1" ht="12" customHeight="1" x14ac:dyDescent="0.2">
      <c r="A171" s="19"/>
      <c r="B171" s="19"/>
      <c r="C171" s="19"/>
      <c r="D171" s="19"/>
      <c r="E171" s="19"/>
      <c r="F171" s="19"/>
      <c r="G171" s="19" t="s">
        <v>184</v>
      </c>
      <c r="H171" s="21"/>
      <c r="I171" s="27">
        <v>8603</v>
      </c>
      <c r="J171" s="27"/>
      <c r="K171" s="27">
        <v>4413</v>
      </c>
      <c r="L171" s="27"/>
      <c r="M171" s="27">
        <v>5499</v>
      </c>
      <c r="N171" s="27"/>
      <c r="O171" s="27">
        <v>3296.16</v>
      </c>
      <c r="P171" s="27"/>
      <c r="Q171" s="21">
        <v>9148.1299999999992</v>
      </c>
      <c r="R171" s="21"/>
      <c r="S171" s="22">
        <v>13743.12</v>
      </c>
      <c r="T171" s="28"/>
      <c r="U171" s="28"/>
      <c r="V171" s="28"/>
      <c r="W171" s="22">
        <v>2768.43</v>
      </c>
      <c r="X171" s="28"/>
      <c r="Y171" s="29">
        <v>7500</v>
      </c>
      <c r="Z171" s="36"/>
      <c r="AA171" s="29">
        <v>10000</v>
      </c>
      <c r="AB171" s="43"/>
      <c r="AC171" s="27">
        <f t="shared" si="169"/>
        <v>7219.8820000000005</v>
      </c>
      <c r="AD171" s="27">
        <f t="shared" si="170"/>
        <v>13743.12</v>
      </c>
      <c r="AE171" s="27">
        <f t="shared" si="171"/>
        <v>3296.16</v>
      </c>
      <c r="AG171" s="27">
        <f t="shared" si="172"/>
        <v>-4451.4520000000011</v>
      </c>
      <c r="AH171" s="27">
        <f t="shared" si="173"/>
        <v>-10974.69</v>
      </c>
      <c r="AI171" s="27">
        <f t="shared" si="174"/>
        <v>-527.73</v>
      </c>
      <c r="AK171" s="27">
        <f t="shared" si="175"/>
        <v>280.11799999999948</v>
      </c>
      <c r="AL171" s="27">
        <f t="shared" si="176"/>
        <v>-6243.1200000000008</v>
      </c>
      <c r="AM171" s="27">
        <f t="shared" si="177"/>
        <v>4203.84</v>
      </c>
      <c r="AN171" s="36"/>
    </row>
    <row r="172" spans="1:40" s="25" customFormat="1" ht="12" thickBot="1" x14ac:dyDescent="0.25">
      <c r="A172" s="19"/>
      <c r="B172" s="19"/>
      <c r="C172" s="19"/>
      <c r="D172" s="19"/>
      <c r="E172" s="19"/>
      <c r="F172" s="19"/>
      <c r="G172" s="19" t="s">
        <v>185</v>
      </c>
      <c r="H172" s="21"/>
      <c r="I172" s="33"/>
      <c r="J172" s="21"/>
      <c r="K172" s="33"/>
      <c r="L172" s="21"/>
      <c r="M172" s="33"/>
      <c r="N172" s="21"/>
      <c r="O172" s="33"/>
      <c r="P172" s="33"/>
      <c r="Q172" s="33">
        <v>0</v>
      </c>
      <c r="R172" s="33"/>
      <c r="S172" s="34">
        <v>37854.42</v>
      </c>
      <c r="T172" s="28"/>
      <c r="U172" s="28"/>
      <c r="V172" s="22"/>
      <c r="W172" s="34">
        <v>13814.66</v>
      </c>
      <c r="X172" s="22"/>
      <c r="Y172" s="35">
        <v>41530</v>
      </c>
      <c r="AA172" s="35">
        <f>+AA166*6.88/100</f>
        <v>45723.104000000007</v>
      </c>
      <c r="AB172" s="5"/>
      <c r="AC172" s="33">
        <f t="shared" si="169"/>
        <v>18927.21</v>
      </c>
      <c r="AD172" s="33">
        <f t="shared" si="170"/>
        <v>37854.42</v>
      </c>
      <c r="AE172" s="33">
        <f t="shared" si="171"/>
        <v>0</v>
      </c>
      <c r="AG172" s="33">
        <f t="shared" si="172"/>
        <v>-5112.5499999999993</v>
      </c>
      <c r="AH172" s="33">
        <f t="shared" si="173"/>
        <v>-24039.759999999998</v>
      </c>
      <c r="AI172" s="33">
        <f t="shared" si="174"/>
        <v>13814.66</v>
      </c>
      <c r="AK172" s="33">
        <f t="shared" si="175"/>
        <v>22602.79</v>
      </c>
      <c r="AL172" s="33">
        <f t="shared" si="176"/>
        <v>3675.5800000000017</v>
      </c>
      <c r="AM172" s="33">
        <f t="shared" si="177"/>
        <v>41530</v>
      </c>
    </row>
    <row r="173" spans="1:40" s="25" customFormat="1" x14ac:dyDescent="0.2">
      <c r="A173" s="19"/>
      <c r="B173" s="19"/>
      <c r="C173" s="19"/>
      <c r="D173" s="19"/>
      <c r="E173" s="19"/>
      <c r="F173" s="19" t="s">
        <v>186</v>
      </c>
      <c r="G173" s="19"/>
      <c r="H173" s="21"/>
      <c r="I173" s="21">
        <f>ROUND(SUM(I165:I172),5)</f>
        <v>866053</v>
      </c>
      <c r="J173" s="21"/>
      <c r="K173" s="21">
        <f>ROUND(SUM(K165:K172),5)</f>
        <v>863779</v>
      </c>
      <c r="L173" s="21"/>
      <c r="M173" s="21">
        <f>ROUND(SUM(M165:M172),5)</f>
        <v>807255</v>
      </c>
      <c r="N173" s="21"/>
      <c r="O173" s="21">
        <f>ROUND(SUM(O165:O172),5)</f>
        <v>753084.09</v>
      </c>
      <c r="P173" s="21"/>
      <c r="Q173" s="21">
        <f>ROUND(SUM(Q165:Q172),5)</f>
        <v>824185.47</v>
      </c>
      <c r="R173" s="21"/>
      <c r="S173" s="22">
        <f>ROUND(SUM(S165:S172),5)</f>
        <v>877597.98</v>
      </c>
      <c r="T173" s="22"/>
      <c r="U173" s="22"/>
      <c r="V173" s="22"/>
      <c r="W173" s="22">
        <f>ROUND(SUM(W165:W172),5)</f>
        <v>578926.18000000005</v>
      </c>
      <c r="X173" s="22"/>
      <c r="Y173" s="26">
        <f>ROUND(SUM(Y165:Y172),5)</f>
        <v>1004065</v>
      </c>
      <c r="AA173" s="26">
        <f>ROUND(SUM(AA165:AA172),5)</f>
        <v>1036468.474</v>
      </c>
      <c r="AB173" s="5"/>
      <c r="AC173" s="21">
        <f>ROUND(SUM(AC165:AC172),5)</f>
        <v>836536.63399999996</v>
      </c>
      <c r="AD173" s="21">
        <f>ROUND(SUM(AD165:AD171),5)</f>
        <v>890879.28</v>
      </c>
      <c r="AE173" s="21">
        <f>ROUND(SUM(AE165:AE172),5)</f>
        <v>753084.09</v>
      </c>
      <c r="AG173" s="21">
        <f>ROUND(SUM(AG165:AG172),5)</f>
        <v>-257610.454</v>
      </c>
      <c r="AH173" s="21">
        <f>ROUND(SUM(AH165:AH171),5)</f>
        <v>-325767.76</v>
      </c>
      <c r="AI173" s="21">
        <f>ROUND(SUM(AI165:AI172),5)</f>
        <v>-174157.91</v>
      </c>
      <c r="AK173" s="21">
        <f>ROUND(SUM(AK165:AK172),5)</f>
        <v>167528.36600000001</v>
      </c>
      <c r="AL173" s="21">
        <f>ROUND(SUM(AL165:AL171),5)</f>
        <v>71655.72</v>
      </c>
      <c r="AM173" s="21">
        <f>ROUND(SUM(AM165:AM172),5)</f>
        <v>250980.91</v>
      </c>
    </row>
    <row r="174" spans="1:40" s="25" customFormat="1" x14ac:dyDescent="0.2">
      <c r="A174" s="19"/>
      <c r="B174" s="19"/>
      <c r="C174" s="19"/>
      <c r="D174" s="19"/>
      <c r="E174" s="19"/>
      <c r="F174" s="40" t="s">
        <v>187</v>
      </c>
      <c r="G174" s="19"/>
      <c r="H174" s="21"/>
      <c r="I174" s="21"/>
      <c r="J174" s="21"/>
      <c r="K174" s="21"/>
      <c r="L174" s="21"/>
      <c r="M174" s="21"/>
      <c r="N174" s="21"/>
      <c r="O174" s="21"/>
      <c r="P174" s="21"/>
      <c r="Q174" s="21"/>
      <c r="R174" s="21"/>
      <c r="S174" s="22"/>
      <c r="T174" s="22"/>
      <c r="U174" s="22"/>
      <c r="V174" s="22"/>
      <c r="W174" s="22"/>
      <c r="X174" s="22"/>
      <c r="Y174" s="26"/>
      <c r="AA174" s="26"/>
      <c r="AB174" s="5"/>
      <c r="AC174" s="21"/>
      <c r="AD174" s="21">
        <f t="shared" ref="AD174:AD179" si="178">MAX(K174:S174)</f>
        <v>0</v>
      </c>
      <c r="AE174" s="21">
        <f t="shared" ref="AE174:AE179" si="179">MIN(K174:S174)</f>
        <v>0</v>
      </c>
      <c r="AG174" s="21">
        <f t="shared" ref="AG174:AG179" si="180">+W174-AC174</f>
        <v>0</v>
      </c>
      <c r="AH174" s="21">
        <f t="shared" ref="AH174:AH179" si="181">+W174-AD174</f>
        <v>0</v>
      </c>
      <c r="AI174" s="21">
        <f t="shared" ref="AI174:AI179" si="182">+W174-AE174</f>
        <v>0</v>
      </c>
      <c r="AK174" s="21">
        <f t="shared" ref="AK174:AK179" si="183">+Y174-AC174</f>
        <v>0</v>
      </c>
      <c r="AL174" s="21">
        <f t="shared" ref="AL174:AL179" si="184">+Y174-AD174</f>
        <v>0</v>
      </c>
      <c r="AM174" s="21">
        <f t="shared" ref="AM174:AM179" si="185">+Y174-AE174</f>
        <v>0</v>
      </c>
    </row>
    <row r="175" spans="1:40" s="25" customFormat="1" x14ac:dyDescent="0.2">
      <c r="A175" s="19"/>
      <c r="B175" s="19"/>
      <c r="C175" s="19"/>
      <c r="D175" s="19"/>
      <c r="E175" s="19"/>
      <c r="F175" s="19"/>
      <c r="G175" s="24" t="s">
        <v>188</v>
      </c>
      <c r="H175" s="21"/>
      <c r="I175" s="21"/>
      <c r="J175" s="21"/>
      <c r="K175" s="21"/>
      <c r="L175" s="21"/>
      <c r="M175" s="21">
        <v>175829</v>
      </c>
      <c r="N175" s="21"/>
      <c r="O175" s="21">
        <v>102866.08</v>
      </c>
      <c r="P175" s="21"/>
      <c r="Q175" s="21">
        <v>79599.28</v>
      </c>
      <c r="R175" s="21"/>
      <c r="S175" s="22">
        <v>115008.14</v>
      </c>
      <c r="T175" s="22"/>
      <c r="U175" s="22"/>
      <c r="V175" s="22"/>
      <c r="W175" s="22">
        <v>67776.960000000006</v>
      </c>
      <c r="X175" s="22"/>
      <c r="Y175" s="26">
        <v>128005</v>
      </c>
      <c r="AA175" s="26">
        <v>129991</v>
      </c>
      <c r="AB175" s="5"/>
      <c r="AC175" s="21">
        <f t="shared" ref="AC175:AC179" si="186">AVERAGE(K175:S175)</f>
        <v>118325.625</v>
      </c>
      <c r="AD175" s="21">
        <f t="shared" si="178"/>
        <v>175829</v>
      </c>
      <c r="AE175" s="21">
        <f t="shared" si="179"/>
        <v>79599.28</v>
      </c>
      <c r="AG175" s="21">
        <f t="shared" si="180"/>
        <v>-50548.664999999994</v>
      </c>
      <c r="AH175" s="21">
        <f t="shared" si="181"/>
        <v>-108052.04</v>
      </c>
      <c r="AI175" s="21">
        <f t="shared" si="182"/>
        <v>-11822.319999999992</v>
      </c>
      <c r="AK175" s="21">
        <f t="shared" si="183"/>
        <v>9679.375</v>
      </c>
      <c r="AL175" s="21">
        <f t="shared" si="184"/>
        <v>-47824</v>
      </c>
      <c r="AM175" s="21">
        <f t="shared" si="185"/>
        <v>48405.72</v>
      </c>
    </row>
    <row r="176" spans="1:40" s="25" customFormat="1" x14ac:dyDescent="0.2">
      <c r="A176" s="19"/>
      <c r="B176" s="19"/>
      <c r="C176" s="19"/>
      <c r="D176" s="19"/>
      <c r="E176" s="19"/>
      <c r="F176" s="19"/>
      <c r="G176" s="19" t="s">
        <v>189</v>
      </c>
      <c r="H176" s="21"/>
      <c r="I176" s="21"/>
      <c r="J176" s="21"/>
      <c r="K176" s="21"/>
      <c r="L176" s="21"/>
      <c r="M176" s="21">
        <v>15778</v>
      </c>
      <c r="N176" s="21"/>
      <c r="O176" s="21">
        <v>8884.81</v>
      </c>
      <c r="P176" s="21"/>
      <c r="Q176" s="21">
        <v>6737.95</v>
      </c>
      <c r="R176" s="21"/>
      <c r="S176" s="22">
        <v>10839.65</v>
      </c>
      <c r="T176" s="22"/>
      <c r="U176" s="22"/>
      <c r="V176" s="22"/>
      <c r="W176" s="22">
        <v>5992.63</v>
      </c>
      <c r="X176" s="22"/>
      <c r="Y176" s="26">
        <v>9521</v>
      </c>
      <c r="AA176" s="26">
        <f>+AA175*0.0765</f>
        <v>9944.3114999999998</v>
      </c>
      <c r="AB176" s="5"/>
      <c r="AC176" s="21">
        <f t="shared" si="186"/>
        <v>10560.102499999999</v>
      </c>
      <c r="AD176" s="21">
        <f t="shared" si="178"/>
        <v>15778</v>
      </c>
      <c r="AE176" s="21">
        <f t="shared" si="179"/>
        <v>6737.95</v>
      </c>
      <c r="AG176" s="21">
        <f t="shared" si="180"/>
        <v>-4567.4724999999989</v>
      </c>
      <c r="AH176" s="21">
        <f t="shared" si="181"/>
        <v>-9785.369999999999</v>
      </c>
      <c r="AI176" s="21">
        <f t="shared" si="182"/>
        <v>-745.31999999999971</v>
      </c>
      <c r="AK176" s="21">
        <f t="shared" si="183"/>
        <v>-1039.1024999999991</v>
      </c>
      <c r="AL176" s="21">
        <f t="shared" si="184"/>
        <v>-6257</v>
      </c>
      <c r="AM176" s="21">
        <f t="shared" si="185"/>
        <v>2783.05</v>
      </c>
    </row>
    <row r="177" spans="1:39" s="25" customFormat="1" x14ac:dyDescent="0.2">
      <c r="A177" s="19"/>
      <c r="B177" s="19"/>
      <c r="C177" s="19"/>
      <c r="D177" s="19"/>
      <c r="E177" s="19"/>
      <c r="F177" s="19"/>
      <c r="G177" s="19" t="s">
        <v>190</v>
      </c>
      <c r="H177" s="21"/>
      <c r="I177" s="21"/>
      <c r="J177" s="21"/>
      <c r="K177" s="21"/>
      <c r="L177" s="21"/>
      <c r="M177" s="21">
        <v>7145</v>
      </c>
      <c r="N177" s="21"/>
      <c r="O177" s="21">
        <v>30309.200000000001</v>
      </c>
      <c r="P177" s="21"/>
      <c r="Q177" s="21">
        <v>31894.44</v>
      </c>
      <c r="R177" s="21"/>
      <c r="S177" s="22">
        <v>29540.34</v>
      </c>
      <c r="T177" s="22"/>
      <c r="U177" s="22"/>
      <c r="V177" s="22"/>
      <c r="W177" s="22">
        <v>24794.99</v>
      </c>
      <c r="X177" s="22"/>
      <c r="Y177" s="26">
        <v>40248</v>
      </c>
      <c r="AA177" s="26">
        <v>40507</v>
      </c>
      <c r="AB177" s="5"/>
      <c r="AC177" s="21">
        <f t="shared" si="186"/>
        <v>24722.244999999999</v>
      </c>
      <c r="AD177" s="21">
        <f t="shared" si="178"/>
        <v>31894.44</v>
      </c>
      <c r="AE177" s="21">
        <f t="shared" si="179"/>
        <v>7145</v>
      </c>
      <c r="AG177" s="21">
        <f t="shared" si="180"/>
        <v>72.745000000002619</v>
      </c>
      <c r="AH177" s="21">
        <f t="shared" si="181"/>
        <v>-7099.4499999999971</v>
      </c>
      <c r="AI177" s="21">
        <f t="shared" si="182"/>
        <v>17649.990000000002</v>
      </c>
      <c r="AK177" s="21">
        <f t="shared" si="183"/>
        <v>15525.755000000001</v>
      </c>
      <c r="AL177" s="21">
        <f t="shared" si="184"/>
        <v>8353.5600000000013</v>
      </c>
      <c r="AM177" s="21">
        <f t="shared" si="185"/>
        <v>33103</v>
      </c>
    </row>
    <row r="178" spans="1:39" s="36" customFormat="1" x14ac:dyDescent="0.2">
      <c r="A178" s="19"/>
      <c r="B178" s="19"/>
      <c r="C178" s="19"/>
      <c r="D178" s="19"/>
      <c r="E178" s="19"/>
      <c r="F178" s="19"/>
      <c r="G178" s="19" t="s">
        <v>191</v>
      </c>
      <c r="H178" s="27"/>
      <c r="I178" s="27"/>
      <c r="J178" s="27"/>
      <c r="K178" s="27"/>
      <c r="L178" s="27"/>
      <c r="M178" s="27"/>
      <c r="N178" s="27"/>
      <c r="O178" s="27"/>
      <c r="P178" s="27"/>
      <c r="Q178" s="21">
        <v>1193.6199999999999</v>
      </c>
      <c r="R178" s="21"/>
      <c r="S178" s="22">
        <v>1502.56</v>
      </c>
      <c r="T178" s="28"/>
      <c r="U178" s="28"/>
      <c r="V178" s="28"/>
      <c r="W178" s="22">
        <v>1100.33</v>
      </c>
      <c r="X178" s="28"/>
      <c r="Y178" s="29">
        <v>1947</v>
      </c>
      <c r="AA178" s="29">
        <v>2024</v>
      </c>
      <c r="AB178" s="43"/>
      <c r="AC178" s="27">
        <f t="shared" si="186"/>
        <v>1348.09</v>
      </c>
      <c r="AD178" s="27">
        <f t="shared" si="178"/>
        <v>1502.56</v>
      </c>
      <c r="AE178" s="27">
        <f t="shared" si="179"/>
        <v>1193.6199999999999</v>
      </c>
      <c r="AF178" s="25"/>
      <c r="AG178" s="27">
        <f t="shared" si="180"/>
        <v>-247.76</v>
      </c>
      <c r="AH178" s="27">
        <f t="shared" si="181"/>
        <v>-402.23</v>
      </c>
      <c r="AI178" s="27">
        <f t="shared" si="182"/>
        <v>-93.289999999999964</v>
      </c>
      <c r="AJ178" s="25"/>
      <c r="AK178" s="27">
        <f t="shared" si="183"/>
        <v>598.91000000000008</v>
      </c>
      <c r="AL178" s="27">
        <f t="shared" si="184"/>
        <v>444.44000000000005</v>
      </c>
      <c r="AM178" s="27">
        <f t="shared" si="185"/>
        <v>753.38000000000011</v>
      </c>
    </row>
    <row r="179" spans="1:39" s="25" customFormat="1" ht="12" thickBot="1" x14ac:dyDescent="0.25">
      <c r="A179" s="19"/>
      <c r="B179" s="19"/>
      <c r="C179" s="19"/>
      <c r="D179" s="19"/>
      <c r="E179" s="19"/>
      <c r="F179" s="19"/>
      <c r="G179" s="19" t="s">
        <v>192</v>
      </c>
      <c r="H179" s="21"/>
      <c r="I179" s="33"/>
      <c r="J179" s="21"/>
      <c r="K179" s="33"/>
      <c r="L179" s="21"/>
      <c r="M179" s="33"/>
      <c r="N179" s="21"/>
      <c r="O179" s="33"/>
      <c r="P179" s="33"/>
      <c r="Q179" s="33">
        <v>0</v>
      </c>
      <c r="R179" s="33"/>
      <c r="S179" s="34">
        <v>362.72</v>
      </c>
      <c r="T179" s="28"/>
      <c r="U179" s="28"/>
      <c r="V179" s="22"/>
      <c r="W179" s="34">
        <v>130.58000000000001</v>
      </c>
      <c r="X179" s="22"/>
      <c r="Y179" s="35">
        <v>354</v>
      </c>
      <c r="AA179" s="35">
        <v>417</v>
      </c>
      <c r="AB179" s="5"/>
      <c r="AC179" s="33">
        <f t="shared" si="186"/>
        <v>181.36</v>
      </c>
      <c r="AD179" s="33">
        <f t="shared" si="178"/>
        <v>362.72</v>
      </c>
      <c r="AE179" s="33">
        <f t="shared" si="179"/>
        <v>0</v>
      </c>
      <c r="AG179" s="33">
        <f t="shared" si="180"/>
        <v>-50.78</v>
      </c>
      <c r="AH179" s="33">
        <f t="shared" si="181"/>
        <v>-232.14000000000001</v>
      </c>
      <c r="AI179" s="33">
        <f t="shared" si="182"/>
        <v>130.58000000000001</v>
      </c>
      <c r="AK179" s="33">
        <f t="shared" si="183"/>
        <v>172.64</v>
      </c>
      <c r="AL179" s="33">
        <f t="shared" si="184"/>
        <v>-8.7200000000000273</v>
      </c>
      <c r="AM179" s="33">
        <f t="shared" si="185"/>
        <v>354</v>
      </c>
    </row>
    <row r="180" spans="1:39" s="25" customFormat="1" x14ac:dyDescent="0.2">
      <c r="A180" s="19"/>
      <c r="B180" s="19"/>
      <c r="C180" s="19"/>
      <c r="D180" s="19"/>
      <c r="E180" s="19"/>
      <c r="F180" s="19" t="s">
        <v>193</v>
      </c>
      <c r="G180" s="19"/>
      <c r="H180" s="21"/>
      <c r="I180" s="21">
        <f>SUM(I174:I179)</f>
        <v>0</v>
      </c>
      <c r="J180" s="21"/>
      <c r="K180" s="21">
        <f>SUM(K174:K179)</f>
        <v>0</v>
      </c>
      <c r="L180" s="21"/>
      <c r="M180" s="21">
        <f>SUM(M174:M179)</f>
        <v>198752</v>
      </c>
      <c r="N180" s="21"/>
      <c r="O180" s="21">
        <f>SUM(O174:O179)</f>
        <v>142060.09</v>
      </c>
      <c r="P180" s="21"/>
      <c r="Q180" s="21">
        <f>SUM(Q174:Q179)</f>
        <v>119425.29</v>
      </c>
      <c r="R180" s="21"/>
      <c r="S180" s="22">
        <f>SUM(S174:S179)</f>
        <v>157253.41</v>
      </c>
      <c r="T180" s="22"/>
      <c r="U180" s="22"/>
      <c r="V180" s="22"/>
      <c r="W180" s="22">
        <f>SUM(W174:W179)</f>
        <v>99795.49000000002</v>
      </c>
      <c r="X180" s="22"/>
      <c r="Y180" s="26">
        <f>SUM(Y174:Y179)</f>
        <v>180075</v>
      </c>
      <c r="AA180" s="26">
        <f>SUM(AA174:AA179)</f>
        <v>182883.31150000001</v>
      </c>
      <c r="AB180" s="5"/>
      <c r="AC180" s="21">
        <f>SUM(AC174:AC179)</f>
        <v>155137.42249999999</v>
      </c>
      <c r="AD180" s="21">
        <f>SUM(AD174:AD179)</f>
        <v>225366.72</v>
      </c>
      <c r="AE180" s="21">
        <f>SUM(AE174:AE179)</f>
        <v>94675.849999999991</v>
      </c>
      <c r="AG180" s="21">
        <f>SUM(AG174:AG179)</f>
        <v>-55341.932499999988</v>
      </c>
      <c r="AH180" s="21">
        <f>SUM(AH174:AH179)</f>
        <v>-125571.22999999998</v>
      </c>
      <c r="AI180" s="21">
        <f>SUM(AI174:AI179)</f>
        <v>5119.6400000000094</v>
      </c>
      <c r="AK180" s="21">
        <f>SUM(AK174:AK179)</f>
        <v>24937.577500000003</v>
      </c>
      <c r="AL180" s="21">
        <f>SUM(AL174:AL179)</f>
        <v>-45291.72</v>
      </c>
      <c r="AM180" s="21">
        <f>SUM(AM174:AM179)</f>
        <v>85399.150000000009</v>
      </c>
    </row>
    <row r="181" spans="1:39" s="25" customFormat="1" x14ac:dyDescent="0.2">
      <c r="A181" s="19"/>
      <c r="B181" s="19"/>
      <c r="C181" s="19"/>
      <c r="D181" s="19"/>
      <c r="E181" s="19"/>
      <c r="F181" s="24" t="s">
        <v>194</v>
      </c>
      <c r="G181" s="19"/>
      <c r="H181" s="21"/>
      <c r="I181" s="21"/>
      <c r="J181" s="21"/>
      <c r="K181" s="21"/>
      <c r="L181" s="21"/>
      <c r="M181" s="21"/>
      <c r="N181" s="21"/>
      <c r="O181" s="21"/>
      <c r="P181" s="21"/>
      <c r="Q181" s="21"/>
      <c r="R181" s="21"/>
      <c r="S181" s="22"/>
      <c r="T181" s="22"/>
      <c r="U181" s="22"/>
      <c r="V181" s="22"/>
      <c r="W181" s="22"/>
      <c r="X181" s="22"/>
      <c r="Y181" s="26"/>
      <c r="AA181" s="26"/>
      <c r="AB181" s="5"/>
      <c r="AC181" s="21"/>
      <c r="AD181" s="21"/>
      <c r="AE181" s="21"/>
      <c r="AG181" s="21"/>
      <c r="AH181" s="21"/>
      <c r="AI181" s="21"/>
      <c r="AK181" s="21"/>
      <c r="AL181" s="21"/>
      <c r="AM181" s="21"/>
    </row>
    <row r="182" spans="1:39" s="25" customFormat="1" x14ac:dyDescent="0.2">
      <c r="A182" s="19"/>
      <c r="B182" s="19"/>
      <c r="C182" s="19"/>
      <c r="D182" s="19"/>
      <c r="E182" s="19"/>
      <c r="F182" s="19"/>
      <c r="G182" s="19" t="s">
        <v>195</v>
      </c>
      <c r="H182" s="21"/>
      <c r="I182" s="21">
        <v>279488</v>
      </c>
      <c r="J182" s="21"/>
      <c r="K182" s="21">
        <v>282160</v>
      </c>
      <c r="L182" s="21"/>
      <c r="M182" s="21">
        <v>294940</v>
      </c>
      <c r="N182" s="21"/>
      <c r="O182" s="21">
        <v>194658.96</v>
      </c>
      <c r="P182" s="21"/>
      <c r="Q182" s="21">
        <v>202240.85</v>
      </c>
      <c r="R182" s="21"/>
      <c r="S182" s="22">
        <v>162143.29</v>
      </c>
      <c r="T182" s="22"/>
      <c r="U182" s="22"/>
      <c r="V182" s="22"/>
      <c r="W182" s="22">
        <v>155978.79999999999</v>
      </c>
      <c r="X182" s="22"/>
      <c r="Y182" s="26">
        <v>212040</v>
      </c>
      <c r="AA182" s="26">
        <v>176256</v>
      </c>
      <c r="AB182" s="5"/>
      <c r="AC182" s="21">
        <f t="shared" ref="AC182:AC185" si="187">AVERAGE(K182:S182)</f>
        <v>227228.61999999997</v>
      </c>
      <c r="AD182" s="21">
        <f>MAX(K182:S182)</f>
        <v>294940</v>
      </c>
      <c r="AE182" s="21">
        <f>MIN(K182:S182)</f>
        <v>162143.29</v>
      </c>
      <c r="AG182" s="21">
        <f t="shared" ref="AG182:AG185" si="188">+W182-AC182</f>
        <v>-71249.819999999978</v>
      </c>
      <c r="AH182" s="21">
        <f t="shared" ref="AH182:AH185" si="189">+W182-AD182</f>
        <v>-138961.20000000001</v>
      </c>
      <c r="AI182" s="21">
        <f t="shared" ref="AI182:AI185" si="190">+W182-AE182</f>
        <v>-6164.4900000000198</v>
      </c>
      <c r="AK182" s="21">
        <f t="shared" ref="AK182:AK185" si="191">+Y182-AC182</f>
        <v>-15188.619999999966</v>
      </c>
      <c r="AL182" s="21">
        <f t="shared" ref="AL182:AL185" si="192">+Y182-AD182</f>
        <v>-82900</v>
      </c>
      <c r="AM182" s="21">
        <f t="shared" ref="AM182:AM185" si="193">+Y182-AE182</f>
        <v>49896.709999999992</v>
      </c>
    </row>
    <row r="183" spans="1:39" s="25" customFormat="1" x14ac:dyDescent="0.2">
      <c r="A183" s="19"/>
      <c r="B183" s="19"/>
      <c r="C183" s="19"/>
      <c r="D183" s="19"/>
      <c r="E183" s="19"/>
      <c r="F183" s="19"/>
      <c r="G183" s="19" t="s">
        <v>196</v>
      </c>
      <c r="H183" s="21"/>
      <c r="I183" s="21">
        <v>29118</v>
      </c>
      <c r="J183" s="21"/>
      <c r="K183" s="21">
        <v>26800</v>
      </c>
      <c r="L183" s="21"/>
      <c r="M183" s="21">
        <v>28654</v>
      </c>
      <c r="N183" s="21"/>
      <c r="O183" s="21">
        <v>18160.48</v>
      </c>
      <c r="P183" s="21"/>
      <c r="Q183" s="21">
        <v>20085.45</v>
      </c>
      <c r="R183" s="21"/>
      <c r="S183" s="22">
        <v>14966</v>
      </c>
      <c r="T183" s="22"/>
      <c r="U183" s="22"/>
      <c r="V183" s="22"/>
      <c r="W183" s="22">
        <v>17867.3</v>
      </c>
      <c r="X183" s="22"/>
      <c r="Y183" s="26">
        <v>16222</v>
      </c>
      <c r="AA183" s="26">
        <f>+AA182*0.0765</f>
        <v>13483.583999999999</v>
      </c>
      <c r="AB183" s="5"/>
      <c r="AC183" s="21">
        <f t="shared" si="187"/>
        <v>21733.185999999998</v>
      </c>
      <c r="AD183" s="21">
        <f>MAX(K183:S183)</f>
        <v>28654</v>
      </c>
      <c r="AE183" s="21">
        <f>MIN(K183:S183)</f>
        <v>14966</v>
      </c>
      <c r="AG183" s="21">
        <f t="shared" si="188"/>
        <v>-3865.8859999999986</v>
      </c>
      <c r="AH183" s="21">
        <f t="shared" si="189"/>
        <v>-10786.7</v>
      </c>
      <c r="AI183" s="21">
        <f t="shared" si="190"/>
        <v>2901.2999999999993</v>
      </c>
      <c r="AK183" s="21">
        <f t="shared" si="191"/>
        <v>-5511.1859999999979</v>
      </c>
      <c r="AL183" s="21">
        <f t="shared" si="192"/>
        <v>-12432</v>
      </c>
      <c r="AM183" s="21">
        <f t="shared" si="193"/>
        <v>1256</v>
      </c>
    </row>
    <row r="184" spans="1:39" s="36" customFormat="1" x14ac:dyDescent="0.2">
      <c r="A184" s="19"/>
      <c r="B184" s="19"/>
      <c r="C184" s="19"/>
      <c r="D184" s="19"/>
      <c r="E184" s="19"/>
      <c r="F184" s="19"/>
      <c r="G184" s="19" t="s">
        <v>197</v>
      </c>
      <c r="H184" s="27"/>
      <c r="I184" s="27">
        <v>3133</v>
      </c>
      <c r="J184" s="27"/>
      <c r="K184" s="27">
        <v>2138</v>
      </c>
      <c r="L184" s="27"/>
      <c r="M184" s="27">
        <v>3660</v>
      </c>
      <c r="N184" s="27"/>
      <c r="O184" s="27">
        <v>1031.3599999999999</v>
      </c>
      <c r="P184" s="27"/>
      <c r="Q184" s="21">
        <v>4635.75</v>
      </c>
      <c r="R184" s="21"/>
      <c r="S184" s="22">
        <v>2900.29</v>
      </c>
      <c r="T184" s="28"/>
      <c r="U184" s="28"/>
      <c r="V184" s="28"/>
      <c r="W184" s="22">
        <v>3512.62</v>
      </c>
      <c r="X184" s="28"/>
      <c r="Y184" s="29">
        <v>4000</v>
      </c>
      <c r="AA184" s="29">
        <v>4000</v>
      </c>
      <c r="AB184" s="43"/>
      <c r="AC184" s="27">
        <f t="shared" si="187"/>
        <v>2873.0800000000004</v>
      </c>
      <c r="AD184" s="27">
        <f>MAX(K184:S184)</f>
        <v>4635.75</v>
      </c>
      <c r="AE184" s="27">
        <f>MIN(K184:S184)</f>
        <v>1031.3599999999999</v>
      </c>
      <c r="AF184" s="25"/>
      <c r="AG184" s="27">
        <f t="shared" si="188"/>
        <v>639.53999999999951</v>
      </c>
      <c r="AH184" s="27">
        <f t="shared" si="189"/>
        <v>-1123.1300000000001</v>
      </c>
      <c r="AI184" s="27">
        <f t="shared" si="190"/>
        <v>2481.2600000000002</v>
      </c>
      <c r="AJ184" s="25"/>
      <c r="AK184" s="27">
        <f t="shared" si="191"/>
        <v>1126.9199999999996</v>
      </c>
      <c r="AL184" s="27">
        <f t="shared" si="192"/>
        <v>-635.75</v>
      </c>
      <c r="AM184" s="27">
        <f t="shared" si="193"/>
        <v>2968.6400000000003</v>
      </c>
    </row>
    <row r="185" spans="1:39" s="25" customFormat="1" ht="12" thickBot="1" x14ac:dyDescent="0.25">
      <c r="A185" s="19"/>
      <c r="B185" s="19"/>
      <c r="C185" s="19"/>
      <c r="D185" s="19"/>
      <c r="E185" s="19"/>
      <c r="F185" s="19"/>
      <c r="G185" s="19" t="s">
        <v>198</v>
      </c>
      <c r="H185" s="21"/>
      <c r="I185" s="33"/>
      <c r="J185" s="21"/>
      <c r="K185" s="33"/>
      <c r="L185" s="21"/>
      <c r="M185" s="33"/>
      <c r="N185" s="21"/>
      <c r="O185" s="33"/>
      <c r="P185" s="33"/>
      <c r="Q185" s="33">
        <v>0</v>
      </c>
      <c r="R185" s="33"/>
      <c r="S185" s="34">
        <v>10459.09</v>
      </c>
      <c r="T185" s="28"/>
      <c r="U185" s="28"/>
      <c r="V185" s="22"/>
      <c r="W185" s="34">
        <v>3945.69</v>
      </c>
      <c r="X185" s="22"/>
      <c r="Y185" s="35">
        <v>14590</v>
      </c>
      <c r="AA185" s="35">
        <f>6.88*AA182/100</f>
        <v>12126.4128</v>
      </c>
      <c r="AB185" s="5"/>
      <c r="AC185" s="33">
        <f t="shared" si="187"/>
        <v>5229.5450000000001</v>
      </c>
      <c r="AD185" s="33">
        <f>MAX(K185:S185)</f>
        <v>10459.09</v>
      </c>
      <c r="AE185" s="33">
        <f>MIN(K185:S185)</f>
        <v>0</v>
      </c>
      <c r="AG185" s="33">
        <f t="shared" si="188"/>
        <v>-1283.855</v>
      </c>
      <c r="AH185" s="33">
        <f t="shared" si="189"/>
        <v>-6513.4</v>
      </c>
      <c r="AI185" s="33">
        <f t="shared" si="190"/>
        <v>3945.69</v>
      </c>
      <c r="AK185" s="33">
        <f t="shared" si="191"/>
        <v>9360.4549999999999</v>
      </c>
      <c r="AL185" s="33">
        <f t="shared" si="192"/>
        <v>4130.91</v>
      </c>
      <c r="AM185" s="33">
        <f t="shared" si="193"/>
        <v>14590</v>
      </c>
    </row>
    <row r="186" spans="1:39" s="25" customFormat="1" x14ac:dyDescent="0.2">
      <c r="A186" s="19"/>
      <c r="B186" s="19"/>
      <c r="C186" s="19"/>
      <c r="D186" s="19"/>
      <c r="E186" s="19"/>
      <c r="F186" s="19" t="s">
        <v>199</v>
      </c>
      <c r="G186" s="19"/>
      <c r="H186" s="21"/>
      <c r="I186" s="21">
        <f>SUM(I182:I185)</f>
        <v>311739</v>
      </c>
      <c r="J186" s="21"/>
      <c r="K186" s="21">
        <f>SUM(K182:K185)</f>
        <v>311098</v>
      </c>
      <c r="L186" s="21"/>
      <c r="M186" s="21">
        <f>SUM(M182:M185)</f>
        <v>327254</v>
      </c>
      <c r="N186" s="21"/>
      <c r="O186" s="21">
        <f>SUM(O182:O185)</f>
        <v>213850.8</v>
      </c>
      <c r="P186" s="21"/>
      <c r="Q186" s="21">
        <f>SUM(Q182:Q185)</f>
        <v>226962.05000000002</v>
      </c>
      <c r="R186" s="21"/>
      <c r="S186" s="26">
        <f>SUM(S182:S185)</f>
        <v>190468.67</v>
      </c>
      <c r="T186" s="22"/>
      <c r="U186" s="22"/>
      <c r="V186" s="22"/>
      <c r="W186" s="26">
        <f>SUM(W182:W185)</f>
        <v>181304.40999999997</v>
      </c>
      <c r="X186" s="22"/>
      <c r="Y186" s="26">
        <f>SUM(Y182:Y185)</f>
        <v>246852</v>
      </c>
      <c r="AA186" s="26">
        <f>SUM(AA182:AA185)</f>
        <v>205865.99679999999</v>
      </c>
      <c r="AC186" s="21">
        <f>SUM(AC182:AC185)</f>
        <v>257064.43099999995</v>
      </c>
      <c r="AD186" s="21">
        <f>SUM(AD182:AD185)</f>
        <v>338688.84</v>
      </c>
      <c r="AE186" s="21">
        <f>SUM(AE182:AE185)</f>
        <v>178140.65</v>
      </c>
      <c r="AG186" s="21">
        <f>SUM(AG182:AG185)</f>
        <v>-75760.020999999979</v>
      </c>
      <c r="AH186" s="21">
        <f>SUM(AH182:AH185)</f>
        <v>-157384.43000000002</v>
      </c>
      <c r="AI186" s="21">
        <f>SUM(AI182:AI185)</f>
        <v>3163.7599999999798</v>
      </c>
      <c r="AK186" s="21">
        <f>SUM(AK182:AK185)</f>
        <v>-10212.430999999966</v>
      </c>
      <c r="AL186" s="21">
        <f>SUM(AL182:AL185)</f>
        <v>-91836.84</v>
      </c>
      <c r="AM186" s="21">
        <f>SUM(AM182:AM185)</f>
        <v>68711.349999999991</v>
      </c>
    </row>
    <row r="187" spans="1:39" s="25" customFormat="1" x14ac:dyDescent="0.2">
      <c r="A187" s="19"/>
      <c r="B187" s="19"/>
      <c r="C187" s="19"/>
      <c r="D187" s="19"/>
      <c r="E187" s="19"/>
      <c r="F187" s="19" t="s">
        <v>200</v>
      </c>
      <c r="G187" s="19"/>
      <c r="H187" s="21"/>
      <c r="I187" s="21"/>
      <c r="J187" s="21"/>
      <c r="K187" s="21"/>
      <c r="L187" s="21"/>
      <c r="M187" s="21"/>
      <c r="N187" s="21"/>
      <c r="O187" s="21"/>
      <c r="P187" s="21"/>
      <c r="Q187" s="21"/>
      <c r="R187" s="21"/>
      <c r="S187" s="22"/>
      <c r="T187" s="22"/>
      <c r="U187" s="22"/>
      <c r="V187" s="22"/>
      <c r="W187" s="22"/>
      <c r="X187" s="22"/>
      <c r="Y187" s="26"/>
      <c r="AA187" s="26"/>
      <c r="AC187" s="21"/>
      <c r="AD187" s="21"/>
      <c r="AE187" s="21"/>
      <c r="AG187" s="21"/>
      <c r="AH187" s="21"/>
      <c r="AI187" s="21"/>
      <c r="AK187" s="21"/>
      <c r="AL187" s="21"/>
      <c r="AM187" s="21"/>
    </row>
    <row r="188" spans="1:39" s="25" customFormat="1" x14ac:dyDescent="0.2">
      <c r="A188" s="19"/>
      <c r="B188" s="19"/>
      <c r="C188" s="19"/>
      <c r="D188" s="19"/>
      <c r="E188" s="19"/>
      <c r="F188" s="19"/>
      <c r="G188" s="19" t="s">
        <v>201</v>
      </c>
      <c r="H188" s="21"/>
      <c r="I188" s="21">
        <v>22841</v>
      </c>
      <c r="J188" s="21"/>
      <c r="K188" s="21">
        <v>21951</v>
      </c>
      <c r="L188" s="21"/>
      <c r="M188" s="21">
        <v>19097</v>
      </c>
      <c r="N188" s="21"/>
      <c r="O188" s="21">
        <f>14128.44+5653.64</f>
        <v>19782.080000000002</v>
      </c>
      <c r="P188" s="21"/>
      <c r="Q188" s="21">
        <v>20010.419999999998</v>
      </c>
      <c r="R188" s="21"/>
      <c r="S188" s="22">
        <v>23235.55</v>
      </c>
      <c r="T188" s="22"/>
      <c r="U188" s="22"/>
      <c r="V188" s="22"/>
      <c r="W188" s="22">
        <v>12597.21</v>
      </c>
      <c r="X188" s="22"/>
      <c r="Y188" s="26">
        <v>24000</v>
      </c>
      <c r="AA188" s="26">
        <v>24000</v>
      </c>
      <c r="AC188" s="21">
        <f t="shared" ref="AC188:AC191" si="194">AVERAGE(K188:S188)</f>
        <v>20815.21</v>
      </c>
      <c r="AD188" s="21">
        <f>MAX(K188:S188)</f>
        <v>23235.55</v>
      </c>
      <c r="AE188" s="21">
        <f>MIN(K188:S188)</f>
        <v>19097</v>
      </c>
      <c r="AG188" s="21">
        <f t="shared" ref="AG188:AG191" si="195">+W188-AC188</f>
        <v>-8218</v>
      </c>
      <c r="AH188" s="21">
        <f t="shared" ref="AH188:AH191" si="196">+W188-AD188</f>
        <v>-10638.34</v>
      </c>
      <c r="AI188" s="21">
        <f t="shared" ref="AI188:AI191" si="197">+W188-AE188</f>
        <v>-6499.7900000000009</v>
      </c>
      <c r="AK188" s="21">
        <f t="shared" ref="AK188:AK191" si="198">+Y188-AC188</f>
        <v>3184.7900000000009</v>
      </c>
      <c r="AL188" s="21">
        <f t="shared" ref="AL188:AL191" si="199">+Y188-AD188</f>
        <v>764.45000000000073</v>
      </c>
      <c r="AM188" s="21">
        <f t="shared" ref="AM188:AM191" si="200">+Y188-AE188</f>
        <v>4903</v>
      </c>
    </row>
    <row r="189" spans="1:39" s="25" customFormat="1" x14ac:dyDescent="0.2">
      <c r="A189" s="19"/>
      <c r="B189" s="19"/>
      <c r="C189" s="19"/>
      <c r="D189" s="19"/>
      <c r="E189" s="19"/>
      <c r="F189" s="19"/>
      <c r="G189" s="19" t="s">
        <v>202</v>
      </c>
      <c r="H189" s="21"/>
      <c r="I189" s="21"/>
      <c r="J189" s="21"/>
      <c r="K189" s="21"/>
      <c r="L189" s="21"/>
      <c r="M189" s="21"/>
      <c r="N189" s="21"/>
      <c r="O189" s="21"/>
      <c r="P189" s="21"/>
      <c r="Q189" s="21">
        <v>2550</v>
      </c>
      <c r="R189" s="21"/>
      <c r="S189" s="22">
        <v>2400</v>
      </c>
      <c r="T189" s="22"/>
      <c r="U189" s="22"/>
      <c r="V189" s="22"/>
      <c r="W189" s="22">
        <v>1400</v>
      </c>
      <c r="X189" s="22"/>
      <c r="Y189" s="26">
        <v>2600</v>
      </c>
      <c r="AA189" s="26">
        <v>2600</v>
      </c>
      <c r="AC189" s="21">
        <f t="shared" si="194"/>
        <v>2475</v>
      </c>
      <c r="AD189" s="21">
        <f>MAX(K189:S189)</f>
        <v>2550</v>
      </c>
      <c r="AE189" s="21">
        <f>MIN(K189:S189)</f>
        <v>2400</v>
      </c>
      <c r="AG189" s="21">
        <f t="shared" si="195"/>
        <v>-1075</v>
      </c>
      <c r="AH189" s="21">
        <f t="shared" si="196"/>
        <v>-1150</v>
      </c>
      <c r="AI189" s="21">
        <f t="shared" si="197"/>
        <v>-1000</v>
      </c>
      <c r="AK189" s="21">
        <f t="shared" si="198"/>
        <v>125</v>
      </c>
      <c r="AL189" s="21">
        <f t="shared" si="199"/>
        <v>50</v>
      </c>
      <c r="AM189" s="21">
        <f t="shared" si="200"/>
        <v>200</v>
      </c>
    </row>
    <row r="190" spans="1:39" s="25" customFormat="1" x14ac:dyDescent="0.2">
      <c r="A190" s="19"/>
      <c r="B190" s="19"/>
      <c r="C190" s="19"/>
      <c r="D190" s="19"/>
      <c r="E190" s="19"/>
      <c r="F190" s="19"/>
      <c r="G190" s="19" t="s">
        <v>203</v>
      </c>
      <c r="H190" s="21"/>
      <c r="I190" s="21"/>
      <c r="J190" s="21"/>
      <c r="K190" s="21"/>
      <c r="L190" s="21"/>
      <c r="M190" s="21"/>
      <c r="N190" s="21"/>
      <c r="O190" s="21"/>
      <c r="P190" s="21"/>
      <c r="Q190" s="21">
        <v>199</v>
      </c>
      <c r="R190" s="21"/>
      <c r="S190" s="22">
        <v>205.5</v>
      </c>
      <c r="T190" s="22"/>
      <c r="U190" s="22"/>
      <c r="V190" s="22"/>
      <c r="W190" s="22">
        <v>211.5</v>
      </c>
      <c r="X190" s="22"/>
      <c r="Y190" s="26">
        <v>500</v>
      </c>
      <c r="AA190" s="26">
        <v>500</v>
      </c>
      <c r="AC190" s="21">
        <f t="shared" si="194"/>
        <v>202.25</v>
      </c>
      <c r="AD190" s="21">
        <f>MAX(K190:S190)</f>
        <v>205.5</v>
      </c>
      <c r="AE190" s="21">
        <f>MIN(K190:S190)</f>
        <v>199</v>
      </c>
      <c r="AG190" s="21">
        <f t="shared" si="195"/>
        <v>9.25</v>
      </c>
      <c r="AH190" s="21">
        <f t="shared" si="196"/>
        <v>6</v>
      </c>
      <c r="AI190" s="21">
        <f t="shared" si="197"/>
        <v>12.5</v>
      </c>
      <c r="AK190" s="21">
        <f t="shared" si="198"/>
        <v>297.75</v>
      </c>
      <c r="AL190" s="21">
        <f t="shared" si="199"/>
        <v>294.5</v>
      </c>
      <c r="AM190" s="21">
        <f t="shared" si="200"/>
        <v>301</v>
      </c>
    </row>
    <row r="191" spans="1:39" s="25" customFormat="1" ht="12" thickBot="1" x14ac:dyDescent="0.25">
      <c r="A191" s="19"/>
      <c r="B191" s="19"/>
      <c r="C191" s="19"/>
      <c r="D191" s="19"/>
      <c r="E191" s="19"/>
      <c r="F191" s="19"/>
      <c r="G191" s="19" t="s">
        <v>204</v>
      </c>
      <c r="H191" s="21"/>
      <c r="I191" s="33">
        <v>4037</v>
      </c>
      <c r="J191" s="21"/>
      <c r="K191" s="33">
        <v>7066</v>
      </c>
      <c r="L191" s="21"/>
      <c r="M191" s="33">
        <v>6566</v>
      </c>
      <c r="N191" s="21"/>
      <c r="O191" s="33">
        <v>10838.78</v>
      </c>
      <c r="P191" s="33"/>
      <c r="Q191" s="33">
        <v>2972.69</v>
      </c>
      <c r="R191" s="33"/>
      <c r="S191" s="34">
        <v>5179.91</v>
      </c>
      <c r="T191" s="28"/>
      <c r="U191" s="28"/>
      <c r="V191" s="22"/>
      <c r="W191" s="34">
        <v>20747.16</v>
      </c>
      <c r="X191" s="22"/>
      <c r="Y191" s="35">
        <v>6000</v>
      </c>
      <c r="AA191" s="35">
        <v>6000</v>
      </c>
      <c r="AC191" s="33">
        <f t="shared" si="194"/>
        <v>6524.6759999999995</v>
      </c>
      <c r="AD191" s="33">
        <f>MAX(K191:S191)</f>
        <v>10838.78</v>
      </c>
      <c r="AE191" s="33">
        <f>MIN(K191:S191)</f>
        <v>2972.69</v>
      </c>
      <c r="AG191" s="33">
        <f t="shared" si="195"/>
        <v>14222.484</v>
      </c>
      <c r="AH191" s="33">
        <f t="shared" si="196"/>
        <v>9908.3799999999992</v>
      </c>
      <c r="AI191" s="33">
        <f t="shared" si="197"/>
        <v>17774.47</v>
      </c>
      <c r="AK191" s="33">
        <f t="shared" si="198"/>
        <v>-524.67599999999948</v>
      </c>
      <c r="AL191" s="33">
        <f t="shared" si="199"/>
        <v>-4838.7800000000007</v>
      </c>
      <c r="AM191" s="33">
        <f t="shared" si="200"/>
        <v>3027.31</v>
      </c>
    </row>
    <row r="192" spans="1:39" s="25" customFormat="1" x14ac:dyDescent="0.2">
      <c r="A192" s="19"/>
      <c r="B192" s="19"/>
      <c r="C192" s="19"/>
      <c r="D192" s="19"/>
      <c r="E192" s="19"/>
      <c r="F192" s="19" t="s">
        <v>205</v>
      </c>
      <c r="G192" s="19"/>
      <c r="H192" s="21"/>
      <c r="I192" s="21">
        <f>ROUND(SUM(I187:I191),5)</f>
        <v>26878</v>
      </c>
      <c r="J192" s="21"/>
      <c r="K192" s="21">
        <f>ROUND(SUM(K187:K191),5)</f>
        <v>29017</v>
      </c>
      <c r="L192" s="21"/>
      <c r="M192" s="21">
        <f>ROUND(SUM(M187:M191),5)</f>
        <v>25663</v>
      </c>
      <c r="N192" s="21"/>
      <c r="O192" s="21">
        <f>ROUND(SUM(O187:O191),5)</f>
        <v>30620.86</v>
      </c>
      <c r="P192" s="21"/>
      <c r="Q192" s="21">
        <f>ROUND(SUM(Q187:Q191),5)</f>
        <v>25732.11</v>
      </c>
      <c r="R192" s="21"/>
      <c r="S192" s="22">
        <f>ROUND(SUM(S187:S191),5)</f>
        <v>31020.959999999999</v>
      </c>
      <c r="T192" s="22"/>
      <c r="U192" s="22"/>
      <c r="V192" s="22"/>
      <c r="W192" s="22">
        <f>ROUND(SUM(W187:W191),5)</f>
        <v>34955.870000000003</v>
      </c>
      <c r="X192" s="22"/>
      <c r="Y192" s="26">
        <f>ROUND(SUM(Y187:Y191),5)</f>
        <v>33100</v>
      </c>
      <c r="AA192" s="26">
        <f>ROUND(SUM(AA187:AA191),5)</f>
        <v>33100</v>
      </c>
      <c r="AC192" s="21">
        <f t="shared" ref="AC192:AE192" si="201">ROUND(SUM(AC187:AC191),5)</f>
        <v>30017.135999999999</v>
      </c>
      <c r="AD192" s="21">
        <f t="shared" si="201"/>
        <v>36829.83</v>
      </c>
      <c r="AE192" s="21">
        <f t="shared" si="201"/>
        <v>24668.69</v>
      </c>
      <c r="AG192" s="21">
        <f t="shared" ref="AG192:AI192" si="202">ROUND(SUM(AG187:AG191),5)</f>
        <v>4938.7340000000004</v>
      </c>
      <c r="AH192" s="21">
        <f t="shared" si="202"/>
        <v>-1873.96</v>
      </c>
      <c r="AI192" s="21">
        <f t="shared" si="202"/>
        <v>10287.18</v>
      </c>
      <c r="AK192" s="21">
        <f t="shared" ref="AK192:AM192" si="203">ROUND(SUM(AK187:AK191),5)</f>
        <v>3082.864</v>
      </c>
      <c r="AL192" s="21">
        <f t="shared" si="203"/>
        <v>-3729.83</v>
      </c>
      <c r="AM192" s="21">
        <f t="shared" si="203"/>
        <v>8431.31</v>
      </c>
    </row>
    <row r="193" spans="1:39" s="25" customFormat="1" x14ac:dyDescent="0.2">
      <c r="A193" s="19"/>
      <c r="B193" s="19"/>
      <c r="C193" s="19"/>
      <c r="D193" s="19"/>
      <c r="E193" s="19"/>
      <c r="F193" s="19" t="s">
        <v>206</v>
      </c>
      <c r="G193" s="19"/>
      <c r="H193" s="21"/>
      <c r="I193" s="21"/>
      <c r="J193" s="21"/>
      <c r="K193" s="21"/>
      <c r="L193" s="21"/>
      <c r="M193" s="21"/>
      <c r="N193" s="21"/>
      <c r="O193" s="21"/>
      <c r="P193" s="21"/>
      <c r="Q193" s="21"/>
      <c r="R193" s="21"/>
      <c r="S193" s="22"/>
      <c r="T193" s="22"/>
      <c r="U193" s="22"/>
      <c r="V193" s="22"/>
      <c r="W193" s="22"/>
      <c r="X193" s="22"/>
      <c r="Y193" s="26"/>
      <c r="AA193" s="26"/>
      <c r="AC193" s="21"/>
      <c r="AD193" s="21"/>
      <c r="AE193" s="21"/>
      <c r="AG193" s="21"/>
      <c r="AH193" s="21"/>
      <c r="AI193" s="21"/>
      <c r="AK193" s="21"/>
      <c r="AL193" s="21"/>
      <c r="AM193" s="21"/>
    </row>
    <row r="194" spans="1:39" s="25" customFormat="1" x14ac:dyDescent="0.2">
      <c r="A194" s="19"/>
      <c r="B194" s="19"/>
      <c r="C194" s="19"/>
      <c r="D194" s="19"/>
      <c r="E194" s="19"/>
      <c r="F194" s="19"/>
      <c r="G194" s="19" t="s">
        <v>207</v>
      </c>
      <c r="H194" s="21"/>
      <c r="I194" s="21">
        <v>36523</v>
      </c>
      <c r="J194" s="21"/>
      <c r="K194" s="21">
        <v>26092</v>
      </c>
      <c r="L194" s="21"/>
      <c r="M194" s="21">
        <v>18806</v>
      </c>
      <c r="N194" s="21"/>
      <c r="O194" s="21">
        <v>25293.56</v>
      </c>
      <c r="P194" s="21"/>
      <c r="Q194" s="21">
        <v>27467.61</v>
      </c>
      <c r="R194" s="21"/>
      <c r="S194" s="22">
        <v>23476.09</v>
      </c>
      <c r="T194" s="22"/>
      <c r="U194" s="22"/>
      <c r="V194" s="22"/>
      <c r="W194" s="22">
        <v>13206.36</v>
      </c>
      <c r="X194" s="22"/>
      <c r="Y194" s="26">
        <v>26000</v>
      </c>
      <c r="AA194" s="26">
        <v>25000</v>
      </c>
      <c r="AC194" s="21">
        <f t="shared" ref="AC194:AC196" si="204">AVERAGE(K194:S194)</f>
        <v>24227.052</v>
      </c>
      <c r="AD194" s="21">
        <f>MAX(K194:S194)</f>
        <v>27467.61</v>
      </c>
      <c r="AE194" s="21">
        <f>MIN(K194:S194)</f>
        <v>18806</v>
      </c>
      <c r="AG194" s="21">
        <f t="shared" ref="AG194:AG196" si="205">+W194-AC194</f>
        <v>-11020.691999999999</v>
      </c>
      <c r="AH194" s="21">
        <f t="shared" ref="AH194:AH196" si="206">+W194-AD194</f>
        <v>-14261.25</v>
      </c>
      <c r="AI194" s="21">
        <f t="shared" ref="AI194:AI196" si="207">+W194-AE194</f>
        <v>-5599.6399999999994</v>
      </c>
      <c r="AK194" s="21">
        <f t="shared" ref="AK194:AK196" si="208">+Y194-AC194</f>
        <v>1772.9480000000003</v>
      </c>
      <c r="AL194" s="21">
        <f t="shared" ref="AL194:AL196" si="209">+Y194-AD194</f>
        <v>-1467.6100000000006</v>
      </c>
      <c r="AM194" s="21">
        <f t="shared" ref="AM194:AM196" si="210">+Y194-AE194</f>
        <v>7194</v>
      </c>
    </row>
    <row r="195" spans="1:39" s="25" customFormat="1" x14ac:dyDescent="0.2">
      <c r="A195" s="19"/>
      <c r="B195" s="19"/>
      <c r="C195" s="19"/>
      <c r="D195" s="19"/>
      <c r="E195" s="19"/>
      <c r="F195" s="19"/>
      <c r="G195" s="19" t="s">
        <v>208</v>
      </c>
      <c r="H195" s="21"/>
      <c r="I195" s="21"/>
      <c r="J195" s="21"/>
      <c r="K195" s="21"/>
      <c r="L195" s="21"/>
      <c r="M195" s="21"/>
      <c r="N195" s="21"/>
      <c r="O195" s="21"/>
      <c r="P195" s="21"/>
      <c r="Q195" s="21">
        <v>25</v>
      </c>
      <c r="R195" s="21"/>
      <c r="S195" s="22">
        <v>127.53</v>
      </c>
      <c r="T195" s="22"/>
      <c r="U195" s="22"/>
      <c r="V195" s="22"/>
      <c r="W195" s="22">
        <v>0</v>
      </c>
      <c r="X195" s="22"/>
      <c r="Y195" s="26"/>
      <c r="AA195" s="26"/>
      <c r="AC195" s="21">
        <f t="shared" si="204"/>
        <v>76.265000000000001</v>
      </c>
      <c r="AD195" s="21"/>
      <c r="AE195" s="21"/>
      <c r="AG195" s="21"/>
      <c r="AH195" s="21"/>
      <c r="AI195" s="21"/>
      <c r="AK195" s="21"/>
      <c r="AL195" s="21"/>
      <c r="AM195" s="21"/>
    </row>
    <row r="196" spans="1:39" s="25" customFormat="1" ht="12" thickBot="1" x14ac:dyDescent="0.25">
      <c r="A196" s="19"/>
      <c r="B196" s="19"/>
      <c r="C196" s="19"/>
      <c r="D196" s="19"/>
      <c r="E196" s="19"/>
      <c r="F196" s="19"/>
      <c r="G196" s="19" t="s">
        <v>209</v>
      </c>
      <c r="H196" s="21"/>
      <c r="I196" s="33">
        <v>9498</v>
      </c>
      <c r="J196" s="21"/>
      <c r="K196" s="33">
        <v>15591</v>
      </c>
      <c r="L196" s="21"/>
      <c r="M196" s="33">
        <v>11395</v>
      </c>
      <c r="N196" s="21"/>
      <c r="O196" s="33">
        <v>11954.8</v>
      </c>
      <c r="P196" s="33"/>
      <c r="Q196" s="33">
        <v>30282.48</v>
      </c>
      <c r="R196" s="33"/>
      <c r="S196" s="34">
        <v>20791.939999999999</v>
      </c>
      <c r="T196" s="28"/>
      <c r="U196" s="28"/>
      <c r="V196" s="22"/>
      <c r="W196" s="34">
        <v>10721.1</v>
      </c>
      <c r="X196" s="22"/>
      <c r="Y196" s="35">
        <v>15000</v>
      </c>
      <c r="AA196" s="35">
        <v>15000</v>
      </c>
      <c r="AC196" s="33">
        <f t="shared" si="204"/>
        <v>18003.044000000002</v>
      </c>
      <c r="AD196" s="33">
        <f>MAX(K196:S196)</f>
        <v>30282.48</v>
      </c>
      <c r="AE196" s="33">
        <f>MIN(K196:S196)</f>
        <v>11395</v>
      </c>
      <c r="AG196" s="33">
        <f t="shared" si="205"/>
        <v>-7281.9440000000013</v>
      </c>
      <c r="AH196" s="33">
        <f t="shared" si="206"/>
        <v>-19561.379999999997</v>
      </c>
      <c r="AI196" s="33">
        <f t="shared" si="207"/>
        <v>-673.89999999999964</v>
      </c>
      <c r="AK196" s="33">
        <f t="shared" si="208"/>
        <v>-3003.0440000000017</v>
      </c>
      <c r="AL196" s="33">
        <f t="shared" si="209"/>
        <v>-15282.48</v>
      </c>
      <c r="AM196" s="33">
        <f t="shared" si="210"/>
        <v>3605</v>
      </c>
    </row>
    <row r="197" spans="1:39" s="25" customFormat="1" x14ac:dyDescent="0.2">
      <c r="A197" s="19"/>
      <c r="B197" s="19"/>
      <c r="C197" s="19"/>
      <c r="D197" s="19"/>
      <c r="E197" s="19"/>
      <c r="F197" s="19" t="s">
        <v>210</v>
      </c>
      <c r="G197" s="19"/>
      <c r="H197" s="21"/>
      <c r="I197" s="21">
        <f>ROUND(SUM(I193:I196),5)</f>
        <v>46021</v>
      </c>
      <c r="J197" s="21"/>
      <c r="K197" s="21">
        <f>ROUND(SUM(K193:K196),5)</f>
        <v>41683</v>
      </c>
      <c r="L197" s="21"/>
      <c r="M197" s="21">
        <f>ROUND(SUM(M193:M196),5)</f>
        <v>30201</v>
      </c>
      <c r="N197" s="21"/>
      <c r="O197" s="21">
        <f>ROUND(SUM(O193:O196),5)</f>
        <v>37248.36</v>
      </c>
      <c r="P197" s="21"/>
      <c r="Q197" s="21">
        <f>ROUND(SUM(Q193:Q196),5)</f>
        <v>57775.09</v>
      </c>
      <c r="R197" s="21"/>
      <c r="S197" s="22">
        <f>ROUND(SUM(S193:S196),5)</f>
        <v>44395.56</v>
      </c>
      <c r="T197" s="22"/>
      <c r="U197" s="22"/>
      <c r="V197" s="22"/>
      <c r="W197" s="22">
        <f>ROUND(SUM(W193:W196),5)</f>
        <v>23927.46</v>
      </c>
      <c r="X197" s="22"/>
      <c r="Y197" s="26">
        <f>ROUND(SUM(Y193:Y196),5)</f>
        <v>41000</v>
      </c>
      <c r="AA197" s="26">
        <f>ROUND(SUM(AA193:AA196),5)</f>
        <v>40000</v>
      </c>
      <c r="AC197" s="21">
        <f t="shared" ref="AC197:AE197" si="211">ROUND(SUM(AC193:AC196),5)</f>
        <v>42306.360999999997</v>
      </c>
      <c r="AD197" s="21">
        <f t="shared" si="211"/>
        <v>57750.09</v>
      </c>
      <c r="AE197" s="21">
        <f t="shared" si="211"/>
        <v>30201</v>
      </c>
      <c r="AG197" s="21">
        <f t="shared" ref="AG197:AI197" si="212">ROUND(SUM(AG193:AG196),5)</f>
        <v>-18302.635999999999</v>
      </c>
      <c r="AH197" s="21">
        <f t="shared" si="212"/>
        <v>-33822.629999999997</v>
      </c>
      <c r="AI197" s="21">
        <f t="shared" si="212"/>
        <v>-6273.54</v>
      </c>
      <c r="AK197" s="21">
        <f t="shared" ref="AK197:AM197" si="213">ROUND(SUM(AK193:AK196),5)</f>
        <v>-1230.096</v>
      </c>
      <c r="AL197" s="21">
        <f t="shared" si="213"/>
        <v>-16750.09</v>
      </c>
      <c r="AM197" s="21">
        <f t="shared" si="213"/>
        <v>10799</v>
      </c>
    </row>
    <row r="198" spans="1:39" s="25" customFormat="1" x14ac:dyDescent="0.2">
      <c r="A198" s="19"/>
      <c r="B198" s="19"/>
      <c r="C198" s="19"/>
      <c r="D198" s="19"/>
      <c r="E198" s="19"/>
      <c r="F198" s="19" t="s">
        <v>211</v>
      </c>
      <c r="G198" s="19"/>
      <c r="H198" s="21"/>
      <c r="I198" s="21"/>
      <c r="J198" s="21"/>
      <c r="K198" s="21"/>
      <c r="L198" s="21"/>
      <c r="M198" s="21"/>
      <c r="N198" s="21"/>
      <c r="O198" s="21"/>
      <c r="P198" s="21"/>
      <c r="Q198" s="21"/>
      <c r="R198" s="21"/>
      <c r="S198" s="22"/>
      <c r="T198" s="22"/>
      <c r="U198" s="22"/>
      <c r="V198" s="22"/>
      <c r="W198" s="22"/>
      <c r="X198" s="22"/>
      <c r="Y198" s="26"/>
      <c r="AA198" s="26"/>
      <c r="AC198" s="21"/>
      <c r="AD198" s="21"/>
      <c r="AE198" s="21"/>
      <c r="AG198" s="21"/>
      <c r="AH198" s="21"/>
      <c r="AI198" s="21"/>
      <c r="AK198" s="21"/>
      <c r="AL198" s="21"/>
      <c r="AM198" s="21"/>
    </row>
    <row r="199" spans="1:39" s="25" customFormat="1" x14ac:dyDescent="0.2">
      <c r="A199" s="19"/>
      <c r="B199" s="19"/>
      <c r="C199" s="19"/>
      <c r="D199" s="19"/>
      <c r="E199" s="19"/>
      <c r="F199" s="19"/>
      <c r="G199" s="19" t="s">
        <v>212</v>
      </c>
      <c r="H199" s="21"/>
      <c r="I199" s="21">
        <v>1338</v>
      </c>
      <c r="J199" s="21"/>
      <c r="K199" s="21">
        <v>2219</v>
      </c>
      <c r="L199" s="21"/>
      <c r="M199" s="21">
        <v>905</v>
      </c>
      <c r="N199" s="21"/>
      <c r="O199" s="21">
        <v>1202.6300000000001</v>
      </c>
      <c r="P199" s="21"/>
      <c r="Q199" s="21">
        <v>1150.3399999999999</v>
      </c>
      <c r="R199" s="21"/>
      <c r="S199" s="22">
        <v>1613.67</v>
      </c>
      <c r="T199" s="22"/>
      <c r="U199" s="22"/>
      <c r="V199" s="22"/>
      <c r="W199" s="22">
        <v>318.75</v>
      </c>
      <c r="X199" s="22"/>
      <c r="Y199" s="26">
        <v>1500</v>
      </c>
      <c r="AA199" s="26">
        <v>750</v>
      </c>
      <c r="AC199" s="21">
        <f t="shared" ref="AC199:AC208" si="214">AVERAGE(K199:S199)</f>
        <v>1418.1280000000002</v>
      </c>
      <c r="AD199" s="21">
        <f t="shared" ref="AD199:AD208" si="215">MAX(K199:S199)</f>
        <v>2219</v>
      </c>
      <c r="AE199" s="21">
        <f t="shared" ref="AE199:AE208" si="216">MIN(K199:S199)</f>
        <v>905</v>
      </c>
      <c r="AG199" s="21">
        <f t="shared" ref="AG199:AG208" si="217">+W199-AC199</f>
        <v>-1099.3780000000002</v>
      </c>
      <c r="AH199" s="21">
        <f t="shared" ref="AH199:AH208" si="218">+W199-AD199</f>
        <v>-1900.25</v>
      </c>
      <c r="AI199" s="21">
        <f t="shared" ref="AI199:AI208" si="219">+W199-AE199</f>
        <v>-586.25</v>
      </c>
      <c r="AK199" s="21">
        <f t="shared" ref="AK199:AK208" si="220">+Y199-AC199</f>
        <v>81.871999999999844</v>
      </c>
      <c r="AL199" s="21">
        <f t="shared" ref="AL199:AL208" si="221">+Y199-AD199</f>
        <v>-719</v>
      </c>
      <c r="AM199" s="21">
        <f t="shared" ref="AM199:AM208" si="222">+Y199-AE199</f>
        <v>595</v>
      </c>
    </row>
    <row r="200" spans="1:39" s="25" customFormat="1" x14ac:dyDescent="0.2">
      <c r="A200" s="19"/>
      <c r="B200" s="19"/>
      <c r="C200" s="19"/>
      <c r="D200" s="19"/>
      <c r="E200" s="19"/>
      <c r="F200" s="19"/>
      <c r="G200" s="19" t="s">
        <v>213</v>
      </c>
      <c r="H200" s="21"/>
      <c r="I200" s="21">
        <v>5044</v>
      </c>
      <c r="J200" s="21"/>
      <c r="K200" s="21">
        <v>4132</v>
      </c>
      <c r="L200" s="21"/>
      <c r="M200" s="21">
        <v>6603</v>
      </c>
      <c r="N200" s="21"/>
      <c r="O200" s="21">
        <v>10155.879999999999</v>
      </c>
      <c r="P200" s="21"/>
      <c r="Q200" s="21">
        <v>30728.33</v>
      </c>
      <c r="R200" s="21"/>
      <c r="S200" s="22">
        <v>33531.75</v>
      </c>
      <c r="T200" s="22"/>
      <c r="U200" s="22"/>
      <c r="V200" s="22"/>
      <c r="W200" s="22">
        <v>2845.2</v>
      </c>
      <c r="X200" s="22"/>
      <c r="Y200" s="26">
        <v>17000</v>
      </c>
      <c r="AA200" s="26">
        <v>20000</v>
      </c>
      <c r="AC200" s="21">
        <f t="shared" si="214"/>
        <v>17030.191999999999</v>
      </c>
      <c r="AD200" s="21">
        <f t="shared" si="215"/>
        <v>33531.75</v>
      </c>
      <c r="AE200" s="21">
        <f t="shared" si="216"/>
        <v>4132</v>
      </c>
      <c r="AG200" s="21">
        <f t="shared" si="217"/>
        <v>-14184.991999999998</v>
      </c>
      <c r="AH200" s="21">
        <f t="shared" si="218"/>
        <v>-30686.55</v>
      </c>
      <c r="AI200" s="21">
        <f t="shared" si="219"/>
        <v>-1286.8000000000002</v>
      </c>
      <c r="AK200" s="21">
        <f t="shared" si="220"/>
        <v>-30.191999999999098</v>
      </c>
      <c r="AL200" s="21">
        <f t="shared" si="221"/>
        <v>-16531.75</v>
      </c>
      <c r="AM200" s="21">
        <f t="shared" si="222"/>
        <v>12868</v>
      </c>
    </row>
    <row r="201" spans="1:39" s="25" customFormat="1" x14ac:dyDescent="0.2">
      <c r="A201" s="19"/>
      <c r="B201" s="19"/>
      <c r="C201" s="19"/>
      <c r="D201" s="19"/>
      <c r="E201" s="19"/>
      <c r="F201" s="19"/>
      <c r="G201" s="19" t="s">
        <v>214</v>
      </c>
      <c r="H201" s="21"/>
      <c r="I201" s="21"/>
      <c r="J201" s="21"/>
      <c r="K201" s="21"/>
      <c r="L201" s="21"/>
      <c r="M201" s="21"/>
      <c r="N201" s="21"/>
      <c r="O201" s="21"/>
      <c r="P201" s="21"/>
      <c r="Q201" s="21">
        <v>0</v>
      </c>
      <c r="R201" s="21"/>
      <c r="S201" s="22">
        <v>0</v>
      </c>
      <c r="T201" s="22"/>
      <c r="U201" s="22"/>
      <c r="V201" s="22"/>
      <c r="W201" s="22">
        <v>0</v>
      </c>
      <c r="X201" s="22"/>
      <c r="Y201" s="26">
        <v>0</v>
      </c>
      <c r="AA201" s="26"/>
      <c r="AC201" s="21">
        <f t="shared" si="214"/>
        <v>0</v>
      </c>
      <c r="AD201" s="21">
        <f t="shared" si="215"/>
        <v>0</v>
      </c>
      <c r="AE201" s="21">
        <f t="shared" si="216"/>
        <v>0</v>
      </c>
      <c r="AG201" s="21">
        <f t="shared" si="217"/>
        <v>0</v>
      </c>
      <c r="AH201" s="21">
        <f t="shared" si="218"/>
        <v>0</v>
      </c>
      <c r="AI201" s="21">
        <f t="shared" si="219"/>
        <v>0</v>
      </c>
      <c r="AK201" s="21">
        <f t="shared" si="220"/>
        <v>0</v>
      </c>
      <c r="AL201" s="21">
        <f t="shared" si="221"/>
        <v>0</v>
      </c>
      <c r="AM201" s="21">
        <f t="shared" si="222"/>
        <v>0</v>
      </c>
    </row>
    <row r="202" spans="1:39" s="25" customFormat="1" x14ac:dyDescent="0.2">
      <c r="A202" s="19"/>
      <c r="B202" s="19"/>
      <c r="C202" s="19"/>
      <c r="D202" s="19"/>
      <c r="E202" s="19"/>
      <c r="F202" s="19"/>
      <c r="G202" s="19" t="s">
        <v>215</v>
      </c>
      <c r="H202" s="21"/>
      <c r="I202" s="21">
        <v>110951</v>
      </c>
      <c r="J202" s="21"/>
      <c r="K202" s="21">
        <v>173915</v>
      </c>
      <c r="L202" s="21"/>
      <c r="M202" s="21">
        <v>174313</v>
      </c>
      <c r="N202" s="21"/>
      <c r="O202" s="21">
        <f>121665.08+14492.4</f>
        <v>136157.48000000001</v>
      </c>
      <c r="P202" s="21"/>
      <c r="Q202" s="21">
        <v>111876.57</v>
      </c>
      <c r="R202" s="21"/>
      <c r="S202" s="22">
        <v>67744.19</v>
      </c>
      <c r="T202" s="22"/>
      <c r="U202" s="22"/>
      <c r="V202" s="22"/>
      <c r="W202" s="22">
        <v>32578.57</v>
      </c>
      <c r="X202" s="22"/>
      <c r="Y202" s="26">
        <v>78737</v>
      </c>
      <c r="AA202" s="26">
        <v>75000</v>
      </c>
      <c r="AC202" s="21">
        <f t="shared" si="214"/>
        <v>132801.24799999999</v>
      </c>
      <c r="AD202" s="21">
        <f t="shared" si="215"/>
        <v>174313</v>
      </c>
      <c r="AE202" s="21">
        <f t="shared" si="216"/>
        <v>67744.19</v>
      </c>
      <c r="AG202" s="21">
        <f t="shared" si="217"/>
        <v>-100222.67799999999</v>
      </c>
      <c r="AH202" s="21">
        <f t="shared" si="218"/>
        <v>-141734.43</v>
      </c>
      <c r="AI202" s="21">
        <f t="shared" si="219"/>
        <v>-35165.620000000003</v>
      </c>
      <c r="AK202" s="21">
        <f t="shared" si="220"/>
        <v>-54064.247999999992</v>
      </c>
      <c r="AL202" s="21">
        <f t="shared" si="221"/>
        <v>-95576</v>
      </c>
      <c r="AM202" s="21">
        <f t="shared" si="222"/>
        <v>10992.809999999998</v>
      </c>
    </row>
    <row r="203" spans="1:39" s="25" customFormat="1" x14ac:dyDescent="0.2">
      <c r="A203" s="19"/>
      <c r="B203" s="19"/>
      <c r="C203" s="19"/>
      <c r="D203" s="19"/>
      <c r="E203" s="19"/>
      <c r="F203" s="19"/>
      <c r="G203" s="19" t="s">
        <v>216</v>
      </c>
      <c r="H203" s="21"/>
      <c r="I203" s="21"/>
      <c r="J203" s="21"/>
      <c r="K203" s="21"/>
      <c r="L203" s="21"/>
      <c r="M203" s="21"/>
      <c r="N203" s="21"/>
      <c r="O203" s="21"/>
      <c r="P203" s="21"/>
      <c r="Q203" s="21">
        <v>937.5</v>
      </c>
      <c r="R203" s="21"/>
      <c r="S203" s="22">
        <v>662.5</v>
      </c>
      <c r="T203" s="22"/>
      <c r="U203" s="22"/>
      <c r="V203" s="22"/>
      <c r="W203" s="22">
        <v>775.5</v>
      </c>
      <c r="X203" s="22"/>
      <c r="Y203" s="26">
        <v>350</v>
      </c>
      <c r="AA203" s="26">
        <v>1000</v>
      </c>
      <c r="AC203" s="21">
        <f t="shared" si="214"/>
        <v>800</v>
      </c>
      <c r="AD203" s="21">
        <f t="shared" si="215"/>
        <v>937.5</v>
      </c>
      <c r="AE203" s="21">
        <f t="shared" si="216"/>
        <v>662.5</v>
      </c>
      <c r="AG203" s="21">
        <f t="shared" si="217"/>
        <v>-24.5</v>
      </c>
      <c r="AH203" s="21">
        <f t="shared" si="218"/>
        <v>-162</v>
      </c>
      <c r="AI203" s="21">
        <f t="shared" si="219"/>
        <v>113</v>
      </c>
      <c r="AK203" s="21">
        <f t="shared" si="220"/>
        <v>-450</v>
      </c>
      <c r="AL203" s="21">
        <f t="shared" si="221"/>
        <v>-587.5</v>
      </c>
      <c r="AM203" s="21">
        <f t="shared" si="222"/>
        <v>-312.5</v>
      </c>
    </row>
    <row r="204" spans="1:39" s="25" customFormat="1" x14ac:dyDescent="0.2">
      <c r="A204" s="19"/>
      <c r="B204" s="19"/>
      <c r="C204" s="19"/>
      <c r="D204" s="19"/>
      <c r="E204" s="19"/>
      <c r="F204" s="19"/>
      <c r="G204" s="19" t="s">
        <v>217</v>
      </c>
      <c r="H204" s="21"/>
      <c r="I204" s="21"/>
      <c r="J204" s="21"/>
      <c r="K204" s="21"/>
      <c r="L204" s="21"/>
      <c r="M204" s="21"/>
      <c r="N204" s="21"/>
      <c r="O204" s="21"/>
      <c r="P204" s="21"/>
      <c r="Q204" s="21">
        <v>4145</v>
      </c>
      <c r="R204" s="21"/>
      <c r="S204" s="22">
        <v>16675.349999999999</v>
      </c>
      <c r="T204" s="22"/>
      <c r="U204" s="22"/>
      <c r="V204" s="22"/>
      <c r="W204" s="22">
        <v>9767.25</v>
      </c>
      <c r="X204" s="22"/>
      <c r="Y204" s="26">
        <v>7500</v>
      </c>
      <c r="AA204" s="26">
        <v>10000</v>
      </c>
      <c r="AC204" s="21">
        <f t="shared" si="214"/>
        <v>10410.174999999999</v>
      </c>
      <c r="AD204" s="21">
        <f t="shared" si="215"/>
        <v>16675.349999999999</v>
      </c>
      <c r="AE204" s="21">
        <f t="shared" si="216"/>
        <v>4145</v>
      </c>
      <c r="AG204" s="21">
        <f t="shared" si="217"/>
        <v>-642.92499999999927</v>
      </c>
      <c r="AH204" s="21">
        <f t="shared" si="218"/>
        <v>-6908.0999999999985</v>
      </c>
      <c r="AI204" s="21">
        <f t="shared" si="219"/>
        <v>5622.25</v>
      </c>
      <c r="AK204" s="21">
        <f t="shared" si="220"/>
        <v>-2910.1749999999993</v>
      </c>
      <c r="AL204" s="21">
        <f t="shared" si="221"/>
        <v>-9175.3499999999985</v>
      </c>
      <c r="AM204" s="21">
        <f t="shared" si="222"/>
        <v>3355</v>
      </c>
    </row>
    <row r="205" spans="1:39" s="25" customFormat="1" x14ac:dyDescent="0.2">
      <c r="A205" s="19"/>
      <c r="B205" s="19"/>
      <c r="C205" s="19"/>
      <c r="D205" s="19"/>
      <c r="E205" s="19"/>
      <c r="F205" s="19"/>
      <c r="G205" s="19" t="s">
        <v>218</v>
      </c>
      <c r="H205" s="21"/>
      <c r="I205" s="21">
        <v>10618</v>
      </c>
      <c r="J205" s="21"/>
      <c r="K205" s="21">
        <v>6196</v>
      </c>
      <c r="L205" s="21"/>
      <c r="M205" s="21">
        <v>4502</v>
      </c>
      <c r="N205" s="21"/>
      <c r="O205" s="21">
        <v>5520.25</v>
      </c>
      <c r="P205" s="21"/>
      <c r="Q205" s="21">
        <v>8209.2800000000007</v>
      </c>
      <c r="R205" s="21"/>
      <c r="S205" s="22">
        <v>7247.47</v>
      </c>
      <c r="T205" s="22"/>
      <c r="U205" s="22"/>
      <c r="V205" s="22"/>
      <c r="W205" s="22">
        <v>9217.64</v>
      </c>
      <c r="X205" s="22"/>
      <c r="Y205" s="26">
        <v>6000</v>
      </c>
      <c r="AA205" s="26">
        <v>5000</v>
      </c>
      <c r="AC205" s="21">
        <f t="shared" si="214"/>
        <v>6335</v>
      </c>
      <c r="AD205" s="21">
        <f t="shared" si="215"/>
        <v>8209.2800000000007</v>
      </c>
      <c r="AE205" s="21">
        <f t="shared" si="216"/>
        <v>4502</v>
      </c>
      <c r="AG205" s="21">
        <f t="shared" si="217"/>
        <v>2882.6399999999994</v>
      </c>
      <c r="AH205" s="21">
        <f t="shared" si="218"/>
        <v>1008.3599999999988</v>
      </c>
      <c r="AI205" s="21">
        <f t="shared" si="219"/>
        <v>4715.6399999999994</v>
      </c>
      <c r="AK205" s="21">
        <f t="shared" si="220"/>
        <v>-335</v>
      </c>
      <c r="AL205" s="21">
        <f t="shared" si="221"/>
        <v>-2209.2800000000007</v>
      </c>
      <c r="AM205" s="21">
        <f t="shared" si="222"/>
        <v>1498</v>
      </c>
    </row>
    <row r="206" spans="1:39" s="25" customFormat="1" x14ac:dyDescent="0.2">
      <c r="A206" s="19"/>
      <c r="B206" s="19"/>
      <c r="C206" s="19"/>
      <c r="D206" s="19"/>
      <c r="E206" s="19"/>
      <c r="F206" s="19"/>
      <c r="G206" s="19" t="s">
        <v>219</v>
      </c>
      <c r="H206" s="21"/>
      <c r="I206" s="21">
        <v>15497</v>
      </c>
      <c r="J206" s="21"/>
      <c r="K206" s="21">
        <v>13768</v>
      </c>
      <c r="L206" s="21"/>
      <c r="M206" s="21">
        <v>14064</v>
      </c>
      <c r="N206" s="21"/>
      <c r="O206" s="21">
        <f>7453.55+385.35</f>
        <v>7838.9000000000005</v>
      </c>
      <c r="P206" s="21"/>
      <c r="Q206" s="21">
        <v>5366.88</v>
      </c>
      <c r="R206" s="21"/>
      <c r="S206" s="22">
        <v>7864.66</v>
      </c>
      <c r="T206" s="22"/>
      <c r="U206" s="22"/>
      <c r="V206" s="22"/>
      <c r="W206" s="22">
        <v>3293.43</v>
      </c>
      <c r="X206" s="22"/>
      <c r="Y206" s="26">
        <v>8000</v>
      </c>
      <c r="AA206" s="26">
        <v>5000</v>
      </c>
      <c r="AC206" s="21">
        <f t="shared" si="214"/>
        <v>9780.4880000000012</v>
      </c>
      <c r="AD206" s="21">
        <f t="shared" si="215"/>
        <v>14064</v>
      </c>
      <c r="AE206" s="21">
        <f t="shared" si="216"/>
        <v>5366.88</v>
      </c>
      <c r="AG206" s="21">
        <f t="shared" si="217"/>
        <v>-6487.0580000000009</v>
      </c>
      <c r="AH206" s="21">
        <f t="shared" si="218"/>
        <v>-10770.57</v>
      </c>
      <c r="AI206" s="21">
        <f t="shared" si="219"/>
        <v>-2073.4500000000003</v>
      </c>
      <c r="AK206" s="21">
        <f t="shared" si="220"/>
        <v>-1780.4880000000012</v>
      </c>
      <c r="AL206" s="21">
        <f t="shared" si="221"/>
        <v>-6064</v>
      </c>
      <c r="AM206" s="21">
        <f t="shared" si="222"/>
        <v>2633.12</v>
      </c>
    </row>
    <row r="207" spans="1:39" s="25" customFormat="1" x14ac:dyDescent="0.2">
      <c r="A207" s="19"/>
      <c r="B207" s="19"/>
      <c r="C207" s="19"/>
      <c r="D207" s="19"/>
      <c r="E207" s="19"/>
      <c r="F207" s="19"/>
      <c r="G207" s="19" t="s">
        <v>220</v>
      </c>
      <c r="H207" s="21"/>
      <c r="I207" s="21">
        <v>7955</v>
      </c>
      <c r="J207" s="21"/>
      <c r="K207" s="21">
        <v>39459</v>
      </c>
      <c r="L207" s="21"/>
      <c r="M207" s="21">
        <v>5926</v>
      </c>
      <c r="N207" s="21"/>
      <c r="O207" s="21">
        <v>10838.78</v>
      </c>
      <c r="P207" s="21"/>
      <c r="Q207" s="21">
        <v>12138.48</v>
      </c>
      <c r="R207" s="21"/>
      <c r="S207" s="22">
        <v>8042.25</v>
      </c>
      <c r="T207" s="22"/>
      <c r="U207" s="22"/>
      <c r="V207" s="22"/>
      <c r="W207" s="22">
        <v>7104.49</v>
      </c>
      <c r="X207" s="22"/>
      <c r="Y207" s="26">
        <v>8000</v>
      </c>
      <c r="AA207" s="26">
        <v>10000</v>
      </c>
      <c r="AC207" s="21">
        <f t="shared" si="214"/>
        <v>15280.901999999998</v>
      </c>
      <c r="AD207" s="21">
        <f t="shared" si="215"/>
        <v>39459</v>
      </c>
      <c r="AE207" s="21">
        <f t="shared" si="216"/>
        <v>5926</v>
      </c>
      <c r="AG207" s="21">
        <f t="shared" si="217"/>
        <v>-8176.4119999999984</v>
      </c>
      <c r="AH207" s="21">
        <f t="shared" si="218"/>
        <v>-32354.510000000002</v>
      </c>
      <c r="AI207" s="21">
        <f t="shared" si="219"/>
        <v>1178.4899999999998</v>
      </c>
      <c r="AK207" s="21">
        <f t="shared" si="220"/>
        <v>-7280.9019999999982</v>
      </c>
      <c r="AL207" s="21">
        <f t="shared" si="221"/>
        <v>-31459</v>
      </c>
      <c r="AM207" s="21">
        <f t="shared" si="222"/>
        <v>2074</v>
      </c>
    </row>
    <row r="208" spans="1:39" s="25" customFormat="1" ht="12" thickBot="1" x14ac:dyDescent="0.25">
      <c r="A208" s="19"/>
      <c r="B208" s="19"/>
      <c r="C208" s="19"/>
      <c r="D208" s="19"/>
      <c r="E208" s="19"/>
      <c r="F208" s="19"/>
      <c r="G208" s="19" t="s">
        <v>221</v>
      </c>
      <c r="H208" s="21"/>
      <c r="I208" s="27">
        <v>531</v>
      </c>
      <c r="J208" s="21"/>
      <c r="K208" s="27">
        <v>998</v>
      </c>
      <c r="L208" s="21"/>
      <c r="M208" s="27">
        <v>799</v>
      </c>
      <c r="N208" s="21"/>
      <c r="O208" s="27">
        <v>62.32</v>
      </c>
      <c r="P208" s="27"/>
      <c r="Q208" s="21">
        <v>1414.58</v>
      </c>
      <c r="R208" s="21"/>
      <c r="S208" s="22">
        <v>1666.49</v>
      </c>
      <c r="T208" s="28"/>
      <c r="U208" s="28"/>
      <c r="V208" s="22"/>
      <c r="W208" s="22">
        <v>69</v>
      </c>
      <c r="X208" s="22"/>
      <c r="Y208" s="29">
        <v>1000</v>
      </c>
      <c r="AA208" s="29">
        <v>500</v>
      </c>
      <c r="AC208" s="27">
        <f t="shared" si="214"/>
        <v>988.07799999999986</v>
      </c>
      <c r="AD208" s="27">
        <f t="shared" si="215"/>
        <v>1666.49</v>
      </c>
      <c r="AE208" s="27">
        <f t="shared" si="216"/>
        <v>62.32</v>
      </c>
      <c r="AG208" s="27">
        <f t="shared" si="217"/>
        <v>-919.07799999999986</v>
      </c>
      <c r="AH208" s="27">
        <f t="shared" si="218"/>
        <v>-1597.49</v>
      </c>
      <c r="AI208" s="27">
        <f t="shared" si="219"/>
        <v>6.68</v>
      </c>
      <c r="AK208" s="27">
        <f t="shared" si="220"/>
        <v>11.922000000000139</v>
      </c>
      <c r="AL208" s="27">
        <f t="shared" si="221"/>
        <v>-666.49</v>
      </c>
      <c r="AM208" s="27">
        <f t="shared" si="222"/>
        <v>937.68</v>
      </c>
    </row>
    <row r="209" spans="1:39" s="25" customFormat="1" ht="12" thickBot="1" x14ac:dyDescent="0.25">
      <c r="A209" s="19"/>
      <c r="B209" s="19"/>
      <c r="C209" s="19"/>
      <c r="D209" s="19"/>
      <c r="E209" s="19"/>
      <c r="F209" s="19" t="s">
        <v>222</v>
      </c>
      <c r="G209" s="19"/>
      <c r="H209" s="21"/>
      <c r="I209" s="30">
        <f>ROUND(SUM(I198:I208),5)</f>
        <v>151934</v>
      </c>
      <c r="J209" s="21"/>
      <c r="K209" s="30">
        <f>ROUND(SUM(K198:K208),5)</f>
        <v>240687</v>
      </c>
      <c r="L209" s="21"/>
      <c r="M209" s="30">
        <f>ROUND(SUM(M198:M208),5)</f>
        <v>207112</v>
      </c>
      <c r="N209" s="21"/>
      <c r="O209" s="30">
        <f>ROUND(SUM(O198:O208),5)</f>
        <v>171776.24</v>
      </c>
      <c r="P209" s="30"/>
      <c r="Q209" s="30">
        <f>ROUND(SUM(Q198:Q208),5)</f>
        <v>175966.96</v>
      </c>
      <c r="R209" s="30"/>
      <c r="S209" s="31">
        <f>ROUND(SUM(S198:S208),5)</f>
        <v>145048.32999999999</v>
      </c>
      <c r="T209" s="28"/>
      <c r="U209" s="28"/>
      <c r="V209" s="22"/>
      <c r="W209" s="31">
        <f>ROUND(SUM(W198:W208),5)</f>
        <v>65969.83</v>
      </c>
      <c r="X209" s="22"/>
      <c r="Y209" s="32">
        <f>ROUND(SUM(Y198:Y208),5)</f>
        <v>128087</v>
      </c>
      <c r="AA209" s="32">
        <f>ROUND(SUM(AA198:AA208),5)</f>
        <v>127250</v>
      </c>
      <c r="AC209" s="30">
        <f t="shared" ref="AC209:AE209" si="223">ROUND(SUM(AC198:AC208),5)</f>
        <v>194844.21100000001</v>
      </c>
      <c r="AD209" s="30">
        <f t="shared" si="223"/>
        <v>291075.37</v>
      </c>
      <c r="AE209" s="30">
        <f t="shared" si="223"/>
        <v>93445.89</v>
      </c>
      <c r="AG209" s="30">
        <f t="shared" ref="AG209:AI209" si="224">ROUND(SUM(AG198:AG208),5)</f>
        <v>-128874.38099999999</v>
      </c>
      <c r="AH209" s="30">
        <f t="shared" si="224"/>
        <v>-225105.54</v>
      </c>
      <c r="AI209" s="30">
        <f t="shared" si="224"/>
        <v>-27476.06</v>
      </c>
      <c r="AK209" s="30">
        <f t="shared" ref="AK209:AM209" si="225">ROUND(SUM(AK198:AK208),5)</f>
        <v>-66757.210999999996</v>
      </c>
      <c r="AL209" s="30">
        <f t="shared" si="225"/>
        <v>-162988.37</v>
      </c>
      <c r="AM209" s="30">
        <f t="shared" si="225"/>
        <v>34641.11</v>
      </c>
    </row>
    <row r="210" spans="1:39" s="25" customFormat="1" x14ac:dyDescent="0.2">
      <c r="A210" s="19"/>
      <c r="B210" s="19"/>
      <c r="C210" s="19"/>
      <c r="D210" s="19"/>
      <c r="E210" s="40" t="s">
        <v>223</v>
      </c>
      <c r="F210" s="19"/>
      <c r="G210" s="19"/>
      <c r="H210" s="21"/>
      <c r="I210" s="21">
        <f>ROUND(I164+I173+I180+I186+I192+I197+I209,5)</f>
        <v>1402625</v>
      </c>
      <c r="J210" s="21"/>
      <c r="K210" s="21">
        <f>ROUND(K164+K173+K180+K186+K192+K197+K209,5)</f>
        <v>1486264</v>
      </c>
      <c r="L210" s="21"/>
      <c r="M210" s="21">
        <f>ROUND(M164+M173+M180+M186+M192+M197+M209,5)</f>
        <v>1596237</v>
      </c>
      <c r="N210" s="21"/>
      <c r="O210" s="21">
        <f>ROUND(O164+O173+O180+O186+O192+O197+O209,5)</f>
        <v>1348640.44</v>
      </c>
      <c r="P210" s="21"/>
      <c r="Q210" s="21">
        <f>ROUND(Q164+Q173+Q180+Q186+Q192+Q197+Q209,5)</f>
        <v>1430046.97</v>
      </c>
      <c r="R210" s="21"/>
      <c r="S210" s="22">
        <f>ROUND(S164+S173+S180+S186+S192+S197+S209,5)</f>
        <v>1445784.91</v>
      </c>
      <c r="T210" s="22"/>
      <c r="U210" s="22"/>
      <c r="V210" s="22"/>
      <c r="W210" s="22">
        <f>ROUND(W164+W173+W180+W186+W192+W197+W209,5)</f>
        <v>984879.24</v>
      </c>
      <c r="X210" s="22"/>
      <c r="Y210" s="26">
        <f>ROUND(Y164+Y173+Y180+Y186+Y192+Y197+Y209,5)</f>
        <v>1633179</v>
      </c>
      <c r="AA210" s="26">
        <f>ROUND(AA164+AA173+AA180+AA186+AA192+AA197+AA209,5)</f>
        <v>1625567.7823000001</v>
      </c>
      <c r="AC210" s="21">
        <f>ROUND(AC164+AC173+AC180+AC186+AC192+AC197+AC209,5)</f>
        <v>1515906.1954999999</v>
      </c>
      <c r="AD210" s="21">
        <f>ROUND(AD164+AD173+AD180+AD186+AD192+AD197+AD209,5)</f>
        <v>1840590.13</v>
      </c>
      <c r="AE210" s="21">
        <f>ROUND(AE164+AE173+AE180+AE186+AE192+AE197+AE209,5)</f>
        <v>1174216.17</v>
      </c>
      <c r="AG210" s="21">
        <f>ROUND(AG164+AG173+AG180+AG186+AG192+AG197+AG209,5)</f>
        <v>-530950.69050000003</v>
      </c>
      <c r="AH210" s="21">
        <f>ROUND(AH164+AH173+AH180+AH186+AH192+AH197+AH209,5)</f>
        <v>-869525.55</v>
      </c>
      <c r="AI210" s="21">
        <f>ROUND(AI164+AI173+AI180+AI186+AI192+AI197+AI209,5)</f>
        <v>-189336.93</v>
      </c>
      <c r="AJ210" s="21"/>
      <c r="AK210" s="21">
        <f>ROUND(AK164+AK173+AK180+AK186+AK192+AK197+AK209,5)</f>
        <v>117349.0695</v>
      </c>
      <c r="AL210" s="21">
        <f>ROUND(AL164+AL173+AL180+AL186+AL192+AL197+AL209,5)</f>
        <v>-248941.13</v>
      </c>
      <c r="AM210" s="21">
        <f>ROUND(AM164+AM173+AM180+AM186+AM192+AM197+AM209,5)</f>
        <v>458962.83</v>
      </c>
    </row>
    <row r="211" spans="1:39" s="25" customFormat="1" x14ac:dyDescent="0.2">
      <c r="A211" s="19"/>
      <c r="B211" s="19"/>
      <c r="C211" s="19"/>
      <c r="D211" s="19"/>
      <c r="E211" s="19"/>
      <c r="F211" s="19"/>
      <c r="G211" s="19"/>
      <c r="H211" s="21"/>
      <c r="I211" s="21"/>
      <c r="J211" s="21"/>
      <c r="K211" s="21"/>
      <c r="L211" s="21"/>
      <c r="M211" s="21"/>
      <c r="N211" s="21"/>
      <c r="O211" s="21"/>
      <c r="P211" s="21"/>
      <c r="Q211" s="21"/>
      <c r="R211" s="21"/>
      <c r="S211" s="22"/>
      <c r="T211" s="22"/>
      <c r="U211" s="22"/>
      <c r="V211" s="22"/>
      <c r="W211" s="22"/>
      <c r="X211" s="22"/>
      <c r="Y211" s="26"/>
      <c r="AA211" s="26"/>
      <c r="AC211" s="21"/>
      <c r="AD211" s="21"/>
      <c r="AE211" s="21"/>
      <c r="AG211" s="21"/>
      <c r="AH211" s="21"/>
      <c r="AI211" s="21"/>
      <c r="AK211" s="21"/>
      <c r="AL211" s="21"/>
      <c r="AM211" s="21"/>
    </row>
    <row r="212" spans="1:39" s="25" customFormat="1" x14ac:dyDescent="0.2">
      <c r="A212" s="19"/>
      <c r="B212" s="19"/>
      <c r="C212" s="19"/>
      <c r="D212" s="19"/>
      <c r="E212" s="40" t="s">
        <v>224</v>
      </c>
      <c r="F212" s="19"/>
      <c r="G212" s="19"/>
      <c r="H212" s="21"/>
      <c r="I212" s="21"/>
      <c r="J212" s="21"/>
      <c r="K212" s="21"/>
      <c r="L212" s="21"/>
      <c r="M212" s="21"/>
      <c r="N212" s="21"/>
      <c r="O212" s="21"/>
      <c r="P212" s="21"/>
      <c r="Q212" s="21"/>
      <c r="R212" s="21"/>
      <c r="S212" s="22"/>
      <c r="T212" s="22"/>
      <c r="U212" s="22"/>
      <c r="V212" s="22"/>
      <c r="W212" s="22"/>
      <c r="X212" s="22"/>
      <c r="Y212" s="26"/>
      <c r="AA212" s="26"/>
      <c r="AC212" s="21"/>
      <c r="AD212" s="21"/>
      <c r="AE212" s="21"/>
      <c r="AG212" s="21"/>
      <c r="AH212" s="21"/>
      <c r="AI212" s="21"/>
      <c r="AK212" s="21"/>
      <c r="AL212" s="21"/>
      <c r="AM212" s="21"/>
    </row>
    <row r="213" spans="1:39" s="25" customFormat="1" x14ac:dyDescent="0.2">
      <c r="A213" s="19"/>
      <c r="B213" s="19"/>
      <c r="C213" s="19"/>
      <c r="D213" s="19"/>
      <c r="E213" s="19"/>
      <c r="F213" s="19" t="s">
        <v>225</v>
      </c>
      <c r="G213" s="19"/>
      <c r="H213" s="21"/>
      <c r="I213" s="21"/>
      <c r="J213" s="21"/>
      <c r="K213" s="21"/>
      <c r="L213" s="21"/>
      <c r="M213" s="21"/>
      <c r="N213" s="21"/>
      <c r="O213" s="21"/>
      <c r="P213" s="21"/>
      <c r="Q213" s="21"/>
      <c r="R213" s="21"/>
      <c r="S213" s="22"/>
      <c r="T213" s="22"/>
      <c r="U213" s="22"/>
      <c r="V213" s="22"/>
      <c r="W213" s="22"/>
      <c r="X213" s="22"/>
      <c r="Y213" s="26"/>
      <c r="AA213" s="26"/>
      <c r="AC213" s="21"/>
      <c r="AD213" s="21"/>
      <c r="AE213" s="21"/>
      <c r="AG213" s="21"/>
      <c r="AH213" s="21"/>
      <c r="AI213" s="21"/>
      <c r="AK213" s="21"/>
      <c r="AL213" s="21"/>
      <c r="AM213" s="21"/>
    </row>
    <row r="214" spans="1:39" s="25" customFormat="1" x14ac:dyDescent="0.2">
      <c r="A214" s="19"/>
      <c r="B214" s="19"/>
      <c r="C214" s="19"/>
      <c r="D214" s="19"/>
      <c r="E214" s="19"/>
      <c r="F214" s="19"/>
      <c r="G214" s="19" t="s">
        <v>226</v>
      </c>
      <c r="H214" s="21"/>
      <c r="I214" s="21">
        <v>49453</v>
      </c>
      <c r="J214" s="21"/>
      <c r="K214" s="21">
        <v>59876</v>
      </c>
      <c r="L214" s="21"/>
      <c r="M214" s="21">
        <v>87659</v>
      </c>
      <c r="N214" s="21"/>
      <c r="O214" s="21">
        <v>98332.06</v>
      </c>
      <c r="P214" s="21"/>
      <c r="Q214" s="21">
        <v>60661.23</v>
      </c>
      <c r="R214" s="21"/>
      <c r="S214" s="22">
        <v>53344.03</v>
      </c>
      <c r="T214" s="22"/>
      <c r="U214" s="22"/>
      <c r="V214" s="22"/>
      <c r="W214" s="22">
        <v>26757.66</v>
      </c>
      <c r="X214" s="22"/>
      <c r="Y214" s="26">
        <v>61607</v>
      </c>
      <c r="AA214" s="26">
        <v>49852</v>
      </c>
      <c r="AB214" s="5"/>
      <c r="AC214" s="21">
        <f t="shared" ref="AC214:AC219" si="226">AVERAGE(K214:S214)</f>
        <v>71974.463999999993</v>
      </c>
      <c r="AD214" s="21">
        <f>MAX(K214:S214)</f>
        <v>98332.06</v>
      </c>
      <c r="AE214" s="21">
        <f>MIN(K214:S214)</f>
        <v>53344.03</v>
      </c>
      <c r="AG214" s="21">
        <f t="shared" ref="AG214:AG219" si="227">+W214-AC214</f>
        <v>-45216.803999999989</v>
      </c>
      <c r="AH214" s="21">
        <f t="shared" ref="AH214:AH219" si="228">+W214-AD214</f>
        <v>-71574.399999999994</v>
      </c>
      <c r="AI214" s="21">
        <f t="shared" ref="AI214:AI219" si="229">+W214-AE214</f>
        <v>-26586.37</v>
      </c>
      <c r="AK214" s="21">
        <f t="shared" ref="AK214:AK219" si="230">+Y214-AC214</f>
        <v>-10367.463999999993</v>
      </c>
      <c r="AL214" s="21">
        <f t="shared" ref="AL214:AL219" si="231">+Y214-AD214</f>
        <v>-36725.06</v>
      </c>
      <c r="AM214" s="21">
        <f t="shared" ref="AM214:AM219" si="232">+Y214-AE214</f>
        <v>8262.9700000000012</v>
      </c>
    </row>
    <row r="215" spans="1:39" s="25" customFormat="1" x14ac:dyDescent="0.2">
      <c r="A215" s="19"/>
      <c r="B215" s="19"/>
      <c r="C215" s="19"/>
      <c r="D215" s="19"/>
      <c r="E215" s="19"/>
      <c r="F215" s="19"/>
      <c r="G215" s="19" t="s">
        <v>227</v>
      </c>
      <c r="H215" s="21"/>
      <c r="I215" s="21">
        <v>4553</v>
      </c>
      <c r="J215" s="21"/>
      <c r="K215" s="21">
        <v>5422</v>
      </c>
      <c r="L215" s="21"/>
      <c r="M215" s="21">
        <v>7726</v>
      </c>
      <c r="N215" s="21"/>
      <c r="O215" s="21">
        <v>7787.04</v>
      </c>
      <c r="P215" s="21"/>
      <c r="Q215" s="21">
        <v>5292.88</v>
      </c>
      <c r="R215" s="21"/>
      <c r="S215" s="22">
        <v>4496.41</v>
      </c>
      <c r="T215" s="22"/>
      <c r="U215" s="22"/>
      <c r="V215" s="22"/>
      <c r="W215" s="22">
        <v>2283.58</v>
      </c>
      <c r="X215" s="22"/>
      <c r="Y215" s="26">
        <v>4713</v>
      </c>
      <c r="AA215" s="26">
        <f>+AA214*0.0765</f>
        <v>3813.6779999999999</v>
      </c>
      <c r="AB215" s="5"/>
      <c r="AC215" s="21">
        <f t="shared" si="226"/>
        <v>6144.866</v>
      </c>
      <c r="AD215" s="21">
        <f>MAX(K215:S215)</f>
        <v>7787.04</v>
      </c>
      <c r="AE215" s="21">
        <f>MIN(K215:S215)</f>
        <v>4496.41</v>
      </c>
      <c r="AG215" s="21">
        <f t="shared" si="227"/>
        <v>-3861.2860000000001</v>
      </c>
      <c r="AH215" s="21">
        <f t="shared" si="228"/>
        <v>-5503.46</v>
      </c>
      <c r="AI215" s="21">
        <f t="shared" si="229"/>
        <v>-2212.83</v>
      </c>
      <c r="AK215" s="21">
        <f t="shared" si="230"/>
        <v>-1431.866</v>
      </c>
      <c r="AL215" s="21">
        <f t="shared" si="231"/>
        <v>-3074.04</v>
      </c>
      <c r="AM215" s="21">
        <f t="shared" si="232"/>
        <v>216.59000000000015</v>
      </c>
    </row>
    <row r="216" spans="1:39" s="25" customFormat="1" x14ac:dyDescent="0.2">
      <c r="A216" s="19"/>
      <c r="B216" s="19"/>
      <c r="C216" s="19"/>
      <c r="D216" s="19"/>
      <c r="E216" s="19"/>
      <c r="F216" s="19"/>
      <c r="G216" s="19" t="s">
        <v>228</v>
      </c>
      <c r="H216" s="21"/>
      <c r="I216" s="21">
        <v>8997</v>
      </c>
      <c r="J216" s="21"/>
      <c r="K216" s="21">
        <v>10024</v>
      </c>
      <c r="L216" s="21"/>
      <c r="M216" s="21">
        <v>8811</v>
      </c>
      <c r="N216" s="21"/>
      <c r="O216" s="21">
        <v>11305.63</v>
      </c>
      <c r="P216" s="21"/>
      <c r="Q216" s="21">
        <v>10055.66</v>
      </c>
      <c r="R216" s="21"/>
      <c r="S216" s="22">
        <v>10841.63</v>
      </c>
      <c r="T216" s="22"/>
      <c r="U216" s="22"/>
      <c r="V216" s="22"/>
      <c r="W216" s="22">
        <v>6655.16</v>
      </c>
      <c r="X216" s="22"/>
      <c r="Y216" s="26">
        <v>11380</v>
      </c>
      <c r="AA216" s="26">
        <v>11485</v>
      </c>
      <c r="AB216" s="5"/>
      <c r="AC216" s="21">
        <f t="shared" si="226"/>
        <v>10207.583999999999</v>
      </c>
      <c r="AD216" s="21">
        <f>MAX(K216:S216)</f>
        <v>11305.63</v>
      </c>
      <c r="AE216" s="21">
        <f>MIN(K216:S216)</f>
        <v>8811</v>
      </c>
      <c r="AG216" s="21">
        <f t="shared" si="227"/>
        <v>-3552.4239999999991</v>
      </c>
      <c r="AH216" s="21">
        <f t="shared" si="228"/>
        <v>-4650.4699999999993</v>
      </c>
      <c r="AI216" s="21">
        <f t="shared" si="229"/>
        <v>-2155.84</v>
      </c>
      <c r="AK216" s="21">
        <f t="shared" si="230"/>
        <v>1172.4160000000011</v>
      </c>
      <c r="AL216" s="21">
        <f t="shared" si="231"/>
        <v>74.3700000000008</v>
      </c>
      <c r="AM216" s="21">
        <f t="shared" si="232"/>
        <v>2569</v>
      </c>
    </row>
    <row r="217" spans="1:39" s="36" customFormat="1" x14ac:dyDescent="0.2">
      <c r="A217" s="19"/>
      <c r="B217" s="19"/>
      <c r="C217" s="19"/>
      <c r="D217" s="19"/>
      <c r="E217" s="19"/>
      <c r="F217" s="19"/>
      <c r="G217" s="19" t="s">
        <v>229</v>
      </c>
      <c r="H217" s="27"/>
      <c r="I217" s="27"/>
      <c r="J217" s="27"/>
      <c r="K217" s="27"/>
      <c r="L217" s="27"/>
      <c r="M217" s="27"/>
      <c r="N217" s="27"/>
      <c r="O217" s="27"/>
      <c r="P217" s="27"/>
      <c r="Q217" s="21">
        <v>1333.49</v>
      </c>
      <c r="R217" s="21"/>
      <c r="S217" s="22">
        <v>1382.67</v>
      </c>
      <c r="T217" s="28"/>
      <c r="U217" s="28"/>
      <c r="V217" s="28"/>
      <c r="W217" s="22">
        <v>858.63</v>
      </c>
      <c r="X217" s="28"/>
      <c r="Y217" s="29">
        <v>1421</v>
      </c>
      <c r="AA217" s="29">
        <f>+AA214*0.03</f>
        <v>1495.56</v>
      </c>
      <c r="AB217" s="43"/>
      <c r="AC217" s="27">
        <f t="shared" si="226"/>
        <v>1358.08</v>
      </c>
      <c r="AD217" s="27">
        <f>MAX(K217:S217)</f>
        <v>1382.67</v>
      </c>
      <c r="AE217" s="27">
        <f>MIN(K217:S217)</f>
        <v>1333.49</v>
      </c>
      <c r="AF217" s="25"/>
      <c r="AG217" s="27">
        <f t="shared" si="227"/>
        <v>-499.44999999999993</v>
      </c>
      <c r="AH217" s="27">
        <f t="shared" si="228"/>
        <v>-524.04000000000008</v>
      </c>
      <c r="AI217" s="27">
        <f t="shared" si="229"/>
        <v>-474.86</v>
      </c>
      <c r="AJ217" s="25"/>
      <c r="AK217" s="27">
        <f t="shared" si="230"/>
        <v>62.920000000000073</v>
      </c>
      <c r="AL217" s="27">
        <f t="shared" si="231"/>
        <v>38.329999999999927</v>
      </c>
      <c r="AM217" s="27">
        <f t="shared" si="232"/>
        <v>87.509999999999991</v>
      </c>
    </row>
    <row r="218" spans="1:39" s="36" customFormat="1" x14ac:dyDescent="0.2">
      <c r="A218" s="19"/>
      <c r="B218" s="19"/>
      <c r="C218" s="19"/>
      <c r="D218" s="19"/>
      <c r="E218" s="19"/>
      <c r="F218" s="19"/>
      <c r="G218" s="19" t="s">
        <v>230</v>
      </c>
      <c r="H218" s="27"/>
      <c r="I218" s="27"/>
      <c r="J218" s="27"/>
      <c r="K218" s="27"/>
      <c r="L218" s="27"/>
      <c r="M218" s="27"/>
      <c r="N218" s="27"/>
      <c r="O218" s="27"/>
      <c r="P218" s="27"/>
      <c r="Q218" s="21"/>
      <c r="R218" s="21"/>
      <c r="S218" s="22">
        <v>191.9</v>
      </c>
      <c r="T218" s="28"/>
      <c r="U218" s="28"/>
      <c r="V218" s="28"/>
      <c r="W218" s="22">
        <v>128.28</v>
      </c>
      <c r="X218" s="28"/>
      <c r="Y218" s="29">
        <v>200</v>
      </c>
      <c r="AA218" s="29">
        <v>150</v>
      </c>
      <c r="AB218" s="43"/>
      <c r="AC218" s="27">
        <f t="shared" si="226"/>
        <v>191.9</v>
      </c>
      <c r="AD218" s="27"/>
      <c r="AE218" s="27"/>
      <c r="AF218" s="25"/>
      <c r="AG218" s="27">
        <f t="shared" si="227"/>
        <v>-63.620000000000005</v>
      </c>
      <c r="AH218" s="27"/>
      <c r="AI218" s="27"/>
      <c r="AJ218" s="25"/>
      <c r="AK218" s="27"/>
      <c r="AL218" s="27"/>
      <c r="AM218" s="27"/>
    </row>
    <row r="219" spans="1:39" s="25" customFormat="1" ht="12" thickBot="1" x14ac:dyDescent="0.25">
      <c r="A219" s="19"/>
      <c r="B219" s="19"/>
      <c r="C219" s="19"/>
      <c r="D219" s="19"/>
      <c r="E219" s="19"/>
      <c r="F219" s="19"/>
      <c r="G219" s="19" t="s">
        <v>231</v>
      </c>
      <c r="H219" s="21"/>
      <c r="I219" s="33"/>
      <c r="J219" s="21"/>
      <c r="K219" s="33"/>
      <c r="L219" s="21"/>
      <c r="M219" s="33"/>
      <c r="N219" s="21"/>
      <c r="O219" s="33"/>
      <c r="P219" s="33"/>
      <c r="Q219" s="33">
        <v>0</v>
      </c>
      <c r="R219" s="33"/>
      <c r="S219" s="34">
        <v>3728.48</v>
      </c>
      <c r="T219" s="28"/>
      <c r="U219" s="28"/>
      <c r="V219" s="22"/>
      <c r="W219" s="34">
        <v>1350.52</v>
      </c>
      <c r="X219" s="22"/>
      <c r="Y219" s="35">
        <v>3845</v>
      </c>
      <c r="AA219" s="35">
        <f>+AA214*6.24/100</f>
        <v>3110.7648000000004</v>
      </c>
      <c r="AB219" s="5"/>
      <c r="AC219" s="33">
        <f t="shared" si="226"/>
        <v>1864.24</v>
      </c>
      <c r="AD219" s="33">
        <f>MAX(K219:S219)</f>
        <v>3728.48</v>
      </c>
      <c r="AE219" s="33">
        <f>MIN(K219:S219)</f>
        <v>0</v>
      </c>
      <c r="AG219" s="33">
        <f t="shared" si="227"/>
        <v>-513.72</v>
      </c>
      <c r="AH219" s="33">
        <f t="shared" si="228"/>
        <v>-2377.96</v>
      </c>
      <c r="AI219" s="33">
        <f t="shared" si="229"/>
        <v>1350.52</v>
      </c>
      <c r="AK219" s="33">
        <f t="shared" si="230"/>
        <v>1980.76</v>
      </c>
      <c r="AL219" s="33">
        <f t="shared" si="231"/>
        <v>116.51999999999998</v>
      </c>
      <c r="AM219" s="33">
        <f t="shared" si="232"/>
        <v>3845</v>
      </c>
    </row>
    <row r="220" spans="1:39" s="25" customFormat="1" x14ac:dyDescent="0.2">
      <c r="A220" s="19"/>
      <c r="B220" s="19"/>
      <c r="C220" s="19"/>
      <c r="D220" s="19"/>
      <c r="E220" s="19"/>
      <c r="F220" s="19" t="s">
        <v>232</v>
      </c>
      <c r="G220" s="19"/>
      <c r="H220" s="21"/>
      <c r="I220" s="21">
        <f>ROUND(SUM(I213:I219),5)</f>
        <v>63003</v>
      </c>
      <c r="J220" s="21"/>
      <c r="K220" s="21">
        <f>ROUND(SUM(K213:K219),5)</f>
        <v>75322</v>
      </c>
      <c r="L220" s="21"/>
      <c r="M220" s="21">
        <f>ROUND(SUM(M213:M219),5)</f>
        <v>104196</v>
      </c>
      <c r="N220" s="21"/>
      <c r="O220" s="21">
        <f>ROUND(SUM(O213:O219),5)</f>
        <v>117424.73</v>
      </c>
      <c r="P220" s="21"/>
      <c r="Q220" s="21">
        <f>ROUND(SUM(Q213:Q219),5)</f>
        <v>77343.259999999995</v>
      </c>
      <c r="R220" s="21"/>
      <c r="S220" s="22">
        <f>ROUND(SUM(S213:S219),5)</f>
        <v>73985.119999999995</v>
      </c>
      <c r="T220" s="22"/>
      <c r="U220" s="22"/>
      <c r="V220" s="22"/>
      <c r="W220" s="22">
        <f>ROUND(SUM(W213:W219),5)</f>
        <v>38033.83</v>
      </c>
      <c r="X220" s="22"/>
      <c r="Y220" s="26">
        <f>ROUND(SUM(Y213:Y219),5)</f>
        <v>83166</v>
      </c>
      <c r="AA220" s="26">
        <f>ROUND(SUM(AA213:AA219),5)</f>
        <v>69907.002800000002</v>
      </c>
      <c r="AB220" s="5"/>
      <c r="AC220" s="21">
        <f>ROUND(SUM(AC213:AC219),5)</f>
        <v>91741.134000000005</v>
      </c>
      <c r="AD220" s="21">
        <f t="shared" ref="AD220" si="233">ROUND(SUM(AD213:AD217),5)</f>
        <v>118807.4</v>
      </c>
      <c r="AE220" s="21">
        <f>ROUND(SUM(AE213:AE219),5)</f>
        <v>67984.929999999993</v>
      </c>
      <c r="AG220" s="21">
        <f>ROUND(SUM(AG213:AG219),5)</f>
        <v>-53707.303999999996</v>
      </c>
      <c r="AH220" s="21">
        <f t="shared" ref="AH220" si="234">ROUND(SUM(AH213:AH217),5)</f>
        <v>-82252.37</v>
      </c>
      <c r="AI220" s="21">
        <f>ROUND(SUM(AI213:AI219),5)</f>
        <v>-30079.38</v>
      </c>
      <c r="AK220" s="21">
        <f>ROUND(SUM(AK213:AK219),5)</f>
        <v>-8583.2340000000004</v>
      </c>
      <c r="AL220" s="21">
        <f t="shared" ref="AL220" si="235">ROUND(SUM(AL213:AL217),5)</f>
        <v>-39686.400000000001</v>
      </c>
      <c r="AM220" s="21">
        <f>ROUND(SUM(AM213:AM219),5)</f>
        <v>14981.07</v>
      </c>
    </row>
    <row r="221" spans="1:39" s="25" customFormat="1" x14ac:dyDescent="0.2">
      <c r="A221" s="19"/>
      <c r="B221" s="19"/>
      <c r="C221" s="19"/>
      <c r="D221" s="19"/>
      <c r="E221" s="19"/>
      <c r="F221" s="19" t="s">
        <v>233</v>
      </c>
      <c r="G221" s="19"/>
      <c r="H221" s="21"/>
      <c r="I221" s="21"/>
      <c r="J221" s="21"/>
      <c r="K221" s="21"/>
      <c r="L221" s="21"/>
      <c r="M221" s="21"/>
      <c r="N221" s="21"/>
      <c r="O221" s="21"/>
      <c r="P221" s="21"/>
      <c r="Q221" s="21"/>
      <c r="R221" s="21"/>
      <c r="S221" s="22"/>
      <c r="T221" s="22"/>
      <c r="U221" s="22"/>
      <c r="V221" s="22"/>
      <c r="W221" s="22"/>
      <c r="X221" s="22"/>
      <c r="Y221" s="26"/>
      <c r="AA221" s="26"/>
      <c r="AC221" s="21"/>
      <c r="AD221" s="21"/>
      <c r="AE221" s="21"/>
      <c r="AG221" s="21"/>
      <c r="AH221" s="21"/>
      <c r="AI221" s="21"/>
      <c r="AK221" s="21"/>
      <c r="AL221" s="21"/>
      <c r="AM221" s="21"/>
    </row>
    <row r="222" spans="1:39" s="25" customFormat="1" x14ac:dyDescent="0.2">
      <c r="A222" s="19"/>
      <c r="B222" s="19"/>
      <c r="C222" s="19"/>
      <c r="D222" s="19"/>
      <c r="E222" s="19"/>
      <c r="F222" s="19"/>
      <c r="G222" s="19" t="s">
        <v>234</v>
      </c>
      <c r="H222" s="21"/>
      <c r="I222" s="21">
        <f>1579+5191</f>
        <v>6770</v>
      </c>
      <c r="J222" s="21"/>
      <c r="K222" s="21">
        <f>1670+4393</f>
        <v>6063</v>
      </c>
      <c r="L222" s="21"/>
      <c r="M222" s="21">
        <f>2361+3801</f>
        <v>6162</v>
      </c>
      <c r="N222" s="21"/>
      <c r="O222" s="21">
        <f>1623.08+3747.78</f>
        <v>5370.8600000000006</v>
      </c>
      <c r="P222" s="21"/>
      <c r="Q222" s="21">
        <v>5663.06</v>
      </c>
      <c r="R222" s="21"/>
      <c r="S222" s="22">
        <v>5601.4</v>
      </c>
      <c r="T222" s="22"/>
      <c r="U222" s="22"/>
      <c r="V222" s="22"/>
      <c r="W222" s="22">
        <v>2286.7399999999998</v>
      </c>
      <c r="X222" s="22"/>
      <c r="Y222" s="26">
        <v>6000</v>
      </c>
      <c r="AA222" s="26">
        <v>3282.36</v>
      </c>
      <c r="AC222" s="21">
        <f t="shared" ref="AC222:AC223" si="236">AVERAGE(K222:S222)</f>
        <v>5772.0640000000003</v>
      </c>
      <c r="AD222" s="21">
        <f>MAX(K222:S222)</f>
        <v>6162</v>
      </c>
      <c r="AE222" s="21">
        <f>MIN(K222:S222)</f>
        <v>5370.8600000000006</v>
      </c>
      <c r="AG222" s="21">
        <f t="shared" ref="AG222:AG223" si="237">+W222-AC222</f>
        <v>-3485.3240000000005</v>
      </c>
      <c r="AH222" s="21">
        <f t="shared" ref="AH222:AH223" si="238">+W222-AD222</f>
        <v>-3875.26</v>
      </c>
      <c r="AI222" s="21">
        <f t="shared" ref="AI222:AI223" si="239">+W222-AE222</f>
        <v>-3084.1200000000008</v>
      </c>
      <c r="AK222" s="21">
        <f t="shared" ref="AK222:AK223" si="240">+Y222-AC222</f>
        <v>227.93599999999969</v>
      </c>
      <c r="AL222" s="21">
        <f t="shared" ref="AL222:AL223" si="241">+Y222-AD222</f>
        <v>-162</v>
      </c>
      <c r="AM222" s="21">
        <f t="shared" ref="AM222:AM223" si="242">+Y222-AE222</f>
        <v>629.13999999999942</v>
      </c>
    </row>
    <row r="223" spans="1:39" s="25" customFormat="1" ht="12" thickBot="1" x14ac:dyDescent="0.25">
      <c r="A223" s="19"/>
      <c r="B223" s="19"/>
      <c r="C223" s="19"/>
      <c r="D223" s="19"/>
      <c r="E223" s="19"/>
      <c r="F223" s="19"/>
      <c r="G223" s="19" t="s">
        <v>235</v>
      </c>
      <c r="H223" s="21"/>
      <c r="I223" s="33">
        <v>636</v>
      </c>
      <c r="J223" s="21"/>
      <c r="K223" s="33">
        <v>690</v>
      </c>
      <c r="L223" s="21"/>
      <c r="M223" s="33">
        <v>1481</v>
      </c>
      <c r="N223" s="21"/>
      <c r="O223" s="33">
        <v>1167.8</v>
      </c>
      <c r="P223" s="33"/>
      <c r="Q223" s="33">
        <v>3393.47</v>
      </c>
      <c r="R223" s="33"/>
      <c r="S223" s="34">
        <v>686.27</v>
      </c>
      <c r="T223" s="28"/>
      <c r="U223" s="28"/>
      <c r="V223" s="22"/>
      <c r="W223" s="34">
        <v>0</v>
      </c>
      <c r="X223" s="22"/>
      <c r="Y223" s="35">
        <v>1200</v>
      </c>
      <c r="AA223" s="35"/>
      <c r="AC223" s="33">
        <f t="shared" si="236"/>
        <v>1483.7080000000001</v>
      </c>
      <c r="AD223" s="33">
        <f>MAX(K223:S223)</f>
        <v>3393.47</v>
      </c>
      <c r="AE223" s="33">
        <f>MIN(K223:S223)</f>
        <v>686.27</v>
      </c>
      <c r="AG223" s="33">
        <f t="shared" si="237"/>
        <v>-1483.7080000000001</v>
      </c>
      <c r="AH223" s="33">
        <f t="shared" si="238"/>
        <v>-3393.47</v>
      </c>
      <c r="AI223" s="33">
        <f t="shared" si="239"/>
        <v>-686.27</v>
      </c>
      <c r="AK223" s="33">
        <f t="shared" si="240"/>
        <v>-283.70800000000008</v>
      </c>
      <c r="AL223" s="33">
        <f t="shared" si="241"/>
        <v>-2193.4699999999998</v>
      </c>
      <c r="AM223" s="33">
        <f t="shared" si="242"/>
        <v>513.73</v>
      </c>
    </row>
    <row r="224" spans="1:39" s="25" customFormat="1" x14ac:dyDescent="0.2">
      <c r="A224" s="19"/>
      <c r="B224" s="19"/>
      <c r="C224" s="19"/>
      <c r="D224" s="19"/>
      <c r="E224" s="19"/>
      <c r="F224" s="19" t="s">
        <v>236</v>
      </c>
      <c r="G224" s="19"/>
      <c r="H224" s="21"/>
      <c r="I224" s="21">
        <f>ROUND(SUM(I221:I223),5)</f>
        <v>7406</v>
      </c>
      <c r="J224" s="21"/>
      <c r="K224" s="21">
        <f>ROUND(SUM(K221:K223),5)</f>
        <v>6753</v>
      </c>
      <c r="L224" s="21"/>
      <c r="M224" s="21">
        <f>ROUND(SUM(M221:M223),5)</f>
        <v>7643</v>
      </c>
      <c r="N224" s="21"/>
      <c r="O224" s="21">
        <f>ROUND(SUM(O221:O223),5)</f>
        <v>6538.66</v>
      </c>
      <c r="P224" s="21"/>
      <c r="Q224" s="21">
        <f>ROUND(SUM(Q221:Q223),5)</f>
        <v>9056.5300000000007</v>
      </c>
      <c r="R224" s="21"/>
      <c r="S224" s="22">
        <f>ROUND(SUM(S221:S223),5)</f>
        <v>6287.67</v>
      </c>
      <c r="T224" s="22"/>
      <c r="U224" s="22"/>
      <c r="V224" s="22"/>
      <c r="W224" s="22">
        <f>ROUND(SUM(W221:W223),5)</f>
        <v>2286.7399999999998</v>
      </c>
      <c r="X224" s="22"/>
      <c r="Y224" s="26">
        <f>ROUND(SUM(Y221:Y223),5)</f>
        <v>7200</v>
      </c>
      <c r="AA224" s="26">
        <f>ROUND(SUM(AA221:AA223),5)</f>
        <v>3282.36</v>
      </c>
      <c r="AC224" s="21">
        <f t="shared" ref="AC224:AE224" si="243">ROUND(SUM(AC221:AC223),5)</f>
        <v>7255.7719999999999</v>
      </c>
      <c r="AD224" s="21">
        <f t="shared" si="243"/>
        <v>9555.4699999999993</v>
      </c>
      <c r="AE224" s="21">
        <f t="shared" si="243"/>
        <v>6057.13</v>
      </c>
      <c r="AG224" s="21">
        <f t="shared" ref="AG224:AI224" si="244">ROUND(SUM(AG221:AG223),5)</f>
        <v>-4969.0320000000002</v>
      </c>
      <c r="AH224" s="21">
        <f t="shared" si="244"/>
        <v>-7268.73</v>
      </c>
      <c r="AI224" s="21">
        <f t="shared" si="244"/>
        <v>-3770.39</v>
      </c>
      <c r="AK224" s="21">
        <f t="shared" ref="AK224:AM224" si="245">ROUND(SUM(AK221:AK223),5)</f>
        <v>-55.771999999999998</v>
      </c>
      <c r="AL224" s="21">
        <f t="shared" si="245"/>
        <v>-2355.4699999999998</v>
      </c>
      <c r="AM224" s="21">
        <f t="shared" si="245"/>
        <v>1142.8699999999999</v>
      </c>
    </row>
    <row r="225" spans="1:39" s="25" customFormat="1" x14ac:dyDescent="0.2">
      <c r="A225" s="19"/>
      <c r="B225" s="19"/>
      <c r="C225" s="19"/>
      <c r="D225" s="19"/>
      <c r="E225" s="19"/>
      <c r="F225" s="19" t="s">
        <v>237</v>
      </c>
      <c r="G225" s="19"/>
      <c r="H225" s="21"/>
      <c r="I225" s="21"/>
      <c r="J225" s="21"/>
      <c r="K225" s="21"/>
      <c r="L225" s="21"/>
      <c r="M225" s="21"/>
      <c r="N225" s="21"/>
      <c r="O225" s="21"/>
      <c r="P225" s="21"/>
      <c r="Q225" s="21"/>
      <c r="R225" s="21"/>
      <c r="S225" s="22"/>
      <c r="T225" s="22"/>
      <c r="U225" s="22"/>
      <c r="V225" s="22"/>
      <c r="W225" s="22"/>
      <c r="X225" s="22"/>
      <c r="Y225" s="26"/>
      <c r="AA225" s="26"/>
      <c r="AC225" s="21"/>
      <c r="AD225" s="21"/>
      <c r="AE225" s="21"/>
      <c r="AG225" s="21"/>
      <c r="AH225" s="21"/>
      <c r="AI225" s="21"/>
      <c r="AK225" s="21"/>
      <c r="AL225" s="21"/>
      <c r="AM225" s="21"/>
    </row>
    <row r="226" spans="1:39" s="25" customFormat="1" x14ac:dyDescent="0.2">
      <c r="A226" s="19"/>
      <c r="B226" s="19"/>
      <c r="C226" s="19"/>
      <c r="D226" s="19"/>
      <c r="E226" s="19"/>
      <c r="F226" s="19"/>
      <c r="G226" s="19" t="s">
        <v>238</v>
      </c>
      <c r="H226" s="21"/>
      <c r="I226" s="21">
        <v>3363</v>
      </c>
      <c r="J226" s="21"/>
      <c r="K226" s="21">
        <v>2705</v>
      </c>
      <c r="L226" s="21"/>
      <c r="M226" s="21">
        <v>7962</v>
      </c>
      <c r="N226" s="21"/>
      <c r="O226" s="21">
        <v>3991.88</v>
      </c>
      <c r="P226" s="21"/>
      <c r="Q226" s="21">
        <v>3452.34</v>
      </c>
      <c r="R226" s="21"/>
      <c r="S226" s="22">
        <v>2788.72</v>
      </c>
      <c r="T226" s="22"/>
      <c r="U226" s="22"/>
      <c r="V226" s="22"/>
      <c r="W226" s="22">
        <v>1448.73</v>
      </c>
      <c r="X226" s="22"/>
      <c r="Y226" s="26">
        <v>3600</v>
      </c>
      <c r="AA226" s="26">
        <v>3000</v>
      </c>
      <c r="AC226" s="21">
        <f t="shared" ref="AC226:AC227" si="246">AVERAGE(K226:S226)</f>
        <v>4179.9880000000003</v>
      </c>
      <c r="AD226" s="21">
        <f>MAX(K226:S226)</f>
        <v>7962</v>
      </c>
      <c r="AE226" s="21">
        <f>MIN(K226:S226)</f>
        <v>2705</v>
      </c>
      <c r="AG226" s="21">
        <f t="shared" ref="AG226:AG227" si="247">+W226-AC226</f>
        <v>-2731.2580000000003</v>
      </c>
      <c r="AH226" s="21">
        <f t="shared" ref="AH226:AH227" si="248">+W226-AD226</f>
        <v>-6513.27</v>
      </c>
      <c r="AI226" s="21">
        <f t="shared" ref="AI226:AI227" si="249">+W226-AE226</f>
        <v>-1256.27</v>
      </c>
      <c r="AK226" s="21">
        <f t="shared" ref="AK226:AK227" si="250">+Y226-AC226</f>
        <v>-579.98800000000028</v>
      </c>
      <c r="AL226" s="21">
        <f t="shared" ref="AL226:AL227" si="251">+Y226-AD226</f>
        <v>-4362</v>
      </c>
      <c r="AM226" s="21">
        <f t="shared" ref="AM226:AM227" si="252">+Y226-AE226</f>
        <v>895</v>
      </c>
    </row>
    <row r="227" spans="1:39" s="25" customFormat="1" ht="12" thickBot="1" x14ac:dyDescent="0.25">
      <c r="A227" s="19"/>
      <c r="B227" s="19"/>
      <c r="C227" s="19"/>
      <c r="D227" s="19"/>
      <c r="E227" s="19"/>
      <c r="F227" s="19"/>
      <c r="G227" s="19" t="s">
        <v>239</v>
      </c>
      <c r="H227" s="21"/>
      <c r="I227" s="33">
        <v>2014</v>
      </c>
      <c r="J227" s="21"/>
      <c r="K227" s="33">
        <v>3342</v>
      </c>
      <c r="L227" s="21"/>
      <c r="M227" s="33">
        <v>1273</v>
      </c>
      <c r="N227" s="21"/>
      <c r="O227" s="33">
        <v>4034.85</v>
      </c>
      <c r="P227" s="33"/>
      <c r="Q227" s="33">
        <v>2358.4299999999998</v>
      </c>
      <c r="R227" s="33"/>
      <c r="S227" s="34">
        <v>1295.43</v>
      </c>
      <c r="T227" s="28"/>
      <c r="U227" s="28"/>
      <c r="V227" s="22"/>
      <c r="W227" s="34">
        <v>690.58</v>
      </c>
      <c r="X227" s="22"/>
      <c r="Y227" s="35">
        <v>1800</v>
      </c>
      <c r="AA227" s="35">
        <v>1000</v>
      </c>
      <c r="AC227" s="33">
        <f t="shared" si="246"/>
        <v>2460.7420000000002</v>
      </c>
      <c r="AD227" s="33">
        <f>MAX(K227:S227)</f>
        <v>4034.85</v>
      </c>
      <c r="AE227" s="33">
        <f>MIN(K227:S227)</f>
        <v>1273</v>
      </c>
      <c r="AG227" s="33">
        <f t="shared" si="247"/>
        <v>-1770.1620000000003</v>
      </c>
      <c r="AH227" s="33">
        <f t="shared" si="248"/>
        <v>-3344.27</v>
      </c>
      <c r="AI227" s="33">
        <f t="shared" si="249"/>
        <v>-582.41999999999996</v>
      </c>
      <c r="AK227" s="33">
        <f t="shared" si="250"/>
        <v>-660.74200000000019</v>
      </c>
      <c r="AL227" s="33">
        <f t="shared" si="251"/>
        <v>-2234.85</v>
      </c>
      <c r="AM227" s="33">
        <f t="shared" si="252"/>
        <v>527</v>
      </c>
    </row>
    <row r="228" spans="1:39" s="25" customFormat="1" x14ac:dyDescent="0.2">
      <c r="A228" s="19"/>
      <c r="B228" s="19"/>
      <c r="C228" s="19"/>
      <c r="D228" s="19"/>
      <c r="E228" s="19"/>
      <c r="F228" s="19" t="s">
        <v>240</v>
      </c>
      <c r="G228" s="19"/>
      <c r="H228" s="21"/>
      <c r="I228" s="21">
        <f>ROUND(SUM(I225:I227),5)</f>
        <v>5377</v>
      </c>
      <c r="J228" s="21"/>
      <c r="K228" s="21">
        <f>ROUND(SUM(K225:K227),5)</f>
        <v>6047</v>
      </c>
      <c r="L228" s="21"/>
      <c r="M228" s="21">
        <f>ROUND(SUM(M225:M227),5)</f>
        <v>9235</v>
      </c>
      <c r="N228" s="21"/>
      <c r="O228" s="21">
        <f>ROUND(SUM(O225:O227),5)</f>
        <v>8026.73</v>
      </c>
      <c r="P228" s="21"/>
      <c r="Q228" s="21">
        <f>ROUND(SUM(Q225:Q227),5)</f>
        <v>5810.77</v>
      </c>
      <c r="R228" s="21"/>
      <c r="S228" s="22">
        <f>ROUND(SUM(S225:S227),5)</f>
        <v>4084.15</v>
      </c>
      <c r="T228" s="22"/>
      <c r="U228" s="22"/>
      <c r="V228" s="22"/>
      <c r="W228" s="22">
        <f>ROUND(SUM(W225:W227),5)</f>
        <v>2139.31</v>
      </c>
      <c r="X228" s="22"/>
      <c r="Y228" s="26">
        <f>ROUND(SUM(Y225:Y227),5)</f>
        <v>5400</v>
      </c>
      <c r="AA228" s="26">
        <f>ROUND(SUM(AA225:AA227),5)</f>
        <v>4000</v>
      </c>
      <c r="AC228" s="21">
        <f t="shared" ref="AC228:AE228" si="253">ROUND(SUM(AC225:AC227),5)</f>
        <v>6640.73</v>
      </c>
      <c r="AD228" s="21">
        <f t="shared" si="253"/>
        <v>11996.85</v>
      </c>
      <c r="AE228" s="21">
        <f t="shared" si="253"/>
        <v>3978</v>
      </c>
      <c r="AG228" s="21">
        <f t="shared" ref="AG228:AI228" si="254">ROUND(SUM(AG225:AG227),5)</f>
        <v>-4501.42</v>
      </c>
      <c r="AH228" s="21">
        <f t="shared" si="254"/>
        <v>-9857.5400000000009</v>
      </c>
      <c r="AI228" s="21">
        <f t="shared" si="254"/>
        <v>-1838.69</v>
      </c>
      <c r="AK228" s="21">
        <f t="shared" ref="AK228:AM228" si="255">ROUND(SUM(AK225:AK227),5)</f>
        <v>-1240.73</v>
      </c>
      <c r="AL228" s="21">
        <f t="shared" si="255"/>
        <v>-6596.85</v>
      </c>
      <c r="AM228" s="21">
        <f t="shared" si="255"/>
        <v>1422</v>
      </c>
    </row>
    <row r="229" spans="1:39" s="25" customFormat="1" x14ac:dyDescent="0.2">
      <c r="A229" s="19"/>
      <c r="B229" s="19"/>
      <c r="C229" s="19"/>
      <c r="D229" s="19"/>
      <c r="E229" s="19"/>
      <c r="F229" s="19" t="s">
        <v>241</v>
      </c>
      <c r="G229" s="19"/>
      <c r="H229" s="21"/>
      <c r="I229" s="21"/>
      <c r="J229" s="21"/>
      <c r="K229" s="21"/>
      <c r="L229" s="21"/>
      <c r="M229" s="21"/>
      <c r="N229" s="21"/>
      <c r="O229" s="21"/>
      <c r="P229" s="21"/>
      <c r="Q229" s="21"/>
      <c r="R229" s="21"/>
      <c r="S229" s="22"/>
      <c r="T229" s="22"/>
      <c r="U229" s="22"/>
      <c r="V229" s="22"/>
      <c r="W229" s="22"/>
      <c r="X229" s="22"/>
      <c r="Y229" s="26"/>
      <c r="AA229" s="26"/>
      <c r="AC229" s="21"/>
      <c r="AD229" s="21"/>
      <c r="AE229" s="21"/>
      <c r="AG229" s="21"/>
      <c r="AH229" s="21"/>
      <c r="AI229" s="21"/>
      <c r="AK229" s="21"/>
      <c r="AL229" s="21"/>
      <c r="AM229" s="21"/>
    </row>
    <row r="230" spans="1:39" s="25" customFormat="1" x14ac:dyDescent="0.2">
      <c r="A230" s="19"/>
      <c r="B230" s="19"/>
      <c r="C230" s="19"/>
      <c r="D230" s="19"/>
      <c r="E230" s="19"/>
      <c r="F230" s="19"/>
      <c r="G230" s="19" t="s">
        <v>242</v>
      </c>
      <c r="H230" s="21"/>
      <c r="I230" s="21">
        <v>1315</v>
      </c>
      <c r="J230" s="21"/>
      <c r="K230" s="21">
        <v>1138</v>
      </c>
      <c r="L230" s="21"/>
      <c r="M230" s="21">
        <v>1070</v>
      </c>
      <c r="N230" s="21"/>
      <c r="O230" s="21">
        <v>793.64</v>
      </c>
      <c r="P230" s="21"/>
      <c r="Q230" s="21">
        <v>826.41</v>
      </c>
      <c r="R230" s="21"/>
      <c r="S230" s="22">
        <v>0</v>
      </c>
      <c r="T230" s="22"/>
      <c r="U230" s="22"/>
      <c r="V230" s="22"/>
      <c r="W230" s="22"/>
      <c r="X230" s="22"/>
      <c r="Y230" s="26">
        <v>0</v>
      </c>
      <c r="AA230" s="26">
        <v>0</v>
      </c>
      <c r="AC230" s="21">
        <f t="shared" ref="AC230:AC233" si="256">AVERAGE(K230:S230)</f>
        <v>765.6099999999999</v>
      </c>
      <c r="AD230" s="21">
        <f>MAX(K230:S230)</f>
        <v>1138</v>
      </c>
      <c r="AE230" s="21">
        <f>MIN(K230:S230)</f>
        <v>0</v>
      </c>
      <c r="AG230" s="21">
        <f t="shared" ref="AG230:AG233" si="257">+W230-AC230</f>
        <v>-765.6099999999999</v>
      </c>
      <c r="AH230" s="21">
        <f t="shared" ref="AH230:AH233" si="258">+W230-AD230</f>
        <v>-1138</v>
      </c>
      <c r="AI230" s="21">
        <f t="shared" ref="AI230:AI233" si="259">+W230-AE230</f>
        <v>0</v>
      </c>
      <c r="AK230" s="21">
        <f t="shared" ref="AK230:AK233" si="260">+Y230-AC230</f>
        <v>-765.6099999999999</v>
      </c>
      <c r="AL230" s="21">
        <f t="shared" ref="AL230:AL233" si="261">+Y230-AD230</f>
        <v>-1138</v>
      </c>
      <c r="AM230" s="21">
        <f t="shared" ref="AM230:AM233" si="262">+Y230-AE230</f>
        <v>0</v>
      </c>
    </row>
    <row r="231" spans="1:39" s="25" customFormat="1" x14ac:dyDescent="0.2">
      <c r="A231" s="19"/>
      <c r="B231" s="19"/>
      <c r="C231" s="19"/>
      <c r="D231" s="19"/>
      <c r="E231" s="19"/>
      <c r="F231" s="19"/>
      <c r="G231" s="19" t="s">
        <v>243</v>
      </c>
      <c r="H231" s="21"/>
      <c r="I231" s="21">
        <v>2131</v>
      </c>
      <c r="J231" s="21"/>
      <c r="K231" s="21">
        <v>6804</v>
      </c>
      <c r="L231" s="21"/>
      <c r="M231" s="21">
        <v>15013</v>
      </c>
      <c r="N231" s="21"/>
      <c r="O231" s="21">
        <f>17588.3+1319.17</f>
        <v>18907.47</v>
      </c>
      <c r="P231" s="21"/>
      <c r="Q231" s="21">
        <v>7455.28</v>
      </c>
      <c r="R231" s="21"/>
      <c r="S231" s="22">
        <v>2318.02</v>
      </c>
      <c r="T231" s="22"/>
      <c r="U231" s="22"/>
      <c r="V231" s="22"/>
      <c r="W231" s="22">
        <v>1149.9100000000001</v>
      </c>
      <c r="X231" s="22"/>
      <c r="Y231" s="26">
        <v>11000</v>
      </c>
      <c r="AA231" s="26">
        <v>5000</v>
      </c>
      <c r="AC231" s="21">
        <f t="shared" si="256"/>
        <v>10099.554</v>
      </c>
      <c r="AD231" s="21">
        <f>MAX(K231:S231)</f>
        <v>18907.47</v>
      </c>
      <c r="AE231" s="21">
        <f>MIN(K231:S231)</f>
        <v>2318.02</v>
      </c>
      <c r="AG231" s="21">
        <f t="shared" si="257"/>
        <v>-8949.6440000000002</v>
      </c>
      <c r="AH231" s="21">
        <f t="shared" si="258"/>
        <v>-17757.560000000001</v>
      </c>
      <c r="AI231" s="21">
        <f t="shared" si="259"/>
        <v>-1168.1099999999999</v>
      </c>
      <c r="AK231" s="21">
        <f t="shared" si="260"/>
        <v>900.44599999999991</v>
      </c>
      <c r="AL231" s="21">
        <f t="shared" si="261"/>
        <v>-7907.4700000000012</v>
      </c>
      <c r="AM231" s="21">
        <f t="shared" si="262"/>
        <v>8681.98</v>
      </c>
    </row>
    <row r="232" spans="1:39" s="25" customFormat="1" x14ac:dyDescent="0.2">
      <c r="A232" s="19"/>
      <c r="B232" s="19"/>
      <c r="C232" s="19"/>
      <c r="D232" s="19"/>
      <c r="E232" s="19"/>
      <c r="F232" s="19"/>
      <c r="G232" s="19" t="s">
        <v>244</v>
      </c>
      <c r="H232" s="21"/>
      <c r="I232" s="21"/>
      <c r="J232" s="21"/>
      <c r="K232" s="21"/>
      <c r="L232" s="21"/>
      <c r="M232" s="21"/>
      <c r="N232" s="21"/>
      <c r="O232" s="21"/>
      <c r="P232" s="21"/>
      <c r="Q232" s="21"/>
      <c r="R232" s="21"/>
      <c r="S232" s="22">
        <v>158</v>
      </c>
      <c r="T232" s="22"/>
      <c r="U232" s="22"/>
      <c r="V232" s="22"/>
      <c r="W232" s="22">
        <v>128</v>
      </c>
      <c r="X232" s="22"/>
      <c r="Y232" s="26"/>
      <c r="AA232" s="26">
        <v>150</v>
      </c>
      <c r="AC232" s="21">
        <f t="shared" si="256"/>
        <v>158</v>
      </c>
      <c r="AD232" s="21"/>
      <c r="AE232" s="21"/>
      <c r="AG232" s="21"/>
      <c r="AH232" s="21"/>
      <c r="AI232" s="21"/>
      <c r="AK232" s="21"/>
      <c r="AL232" s="21"/>
      <c r="AM232" s="21"/>
    </row>
    <row r="233" spans="1:39" s="25" customFormat="1" ht="12" thickBot="1" x14ac:dyDescent="0.25">
      <c r="A233" s="19"/>
      <c r="B233" s="19"/>
      <c r="C233" s="19"/>
      <c r="D233" s="19"/>
      <c r="E233" s="19"/>
      <c r="F233" s="19"/>
      <c r="G233" s="19" t="s">
        <v>245</v>
      </c>
      <c r="H233" s="21"/>
      <c r="I233" s="27">
        <v>1922</v>
      </c>
      <c r="J233" s="21"/>
      <c r="K233" s="27">
        <v>3301</v>
      </c>
      <c r="L233" s="21"/>
      <c r="M233" s="27">
        <v>1489</v>
      </c>
      <c r="N233" s="21"/>
      <c r="O233" s="27">
        <v>1480.09</v>
      </c>
      <c r="P233" s="27"/>
      <c r="Q233" s="21">
        <v>331.22</v>
      </c>
      <c r="R233" s="21"/>
      <c r="S233" s="22">
        <v>19.989999999999998</v>
      </c>
      <c r="T233" s="28"/>
      <c r="U233" s="28"/>
      <c r="V233" s="22"/>
      <c r="W233" s="22">
        <v>3327.41</v>
      </c>
      <c r="X233" s="22"/>
      <c r="Y233" s="29">
        <v>2000</v>
      </c>
      <c r="AA233" s="29">
        <v>5000</v>
      </c>
      <c r="AC233" s="27">
        <f t="shared" si="256"/>
        <v>1324.26</v>
      </c>
      <c r="AD233" s="27">
        <f>MAX(K233:S233)</f>
        <v>3301</v>
      </c>
      <c r="AE233" s="27">
        <f>MIN(K233:S233)</f>
        <v>19.989999999999998</v>
      </c>
      <c r="AG233" s="27">
        <f t="shared" si="257"/>
        <v>2003.1499999999999</v>
      </c>
      <c r="AH233" s="27">
        <f t="shared" si="258"/>
        <v>26.409999999999854</v>
      </c>
      <c r="AI233" s="27">
        <f t="shared" si="259"/>
        <v>3307.42</v>
      </c>
      <c r="AK233" s="27">
        <f t="shared" si="260"/>
        <v>675.74</v>
      </c>
      <c r="AL233" s="27">
        <f t="shared" si="261"/>
        <v>-1301</v>
      </c>
      <c r="AM233" s="27">
        <f t="shared" si="262"/>
        <v>1980.01</v>
      </c>
    </row>
    <row r="234" spans="1:39" s="25" customFormat="1" ht="12" thickBot="1" x14ac:dyDescent="0.25">
      <c r="A234" s="19"/>
      <c r="B234" s="19"/>
      <c r="C234" s="19"/>
      <c r="D234" s="19"/>
      <c r="E234" s="19"/>
      <c r="F234" s="19" t="s">
        <v>246</v>
      </c>
      <c r="G234" s="19"/>
      <c r="H234" s="21"/>
      <c r="I234" s="30">
        <f>ROUND(SUM(I229:I233),5)</f>
        <v>5368</v>
      </c>
      <c r="J234" s="21"/>
      <c r="K234" s="30">
        <f>ROUND(SUM(K229:K233),5)</f>
        <v>11243</v>
      </c>
      <c r="L234" s="21"/>
      <c r="M234" s="30">
        <f>ROUND(SUM(M229:M233),5)</f>
        <v>17572</v>
      </c>
      <c r="N234" s="21"/>
      <c r="O234" s="30">
        <f>ROUND(SUM(O229:O233),5)</f>
        <v>21181.200000000001</v>
      </c>
      <c r="P234" s="30"/>
      <c r="Q234" s="30">
        <f>ROUND(SUM(Q229:Q233),5)</f>
        <v>8612.91</v>
      </c>
      <c r="R234" s="30"/>
      <c r="S234" s="31">
        <f>ROUND(SUM(S229:S233),5)</f>
        <v>2496.0100000000002</v>
      </c>
      <c r="T234" s="28"/>
      <c r="U234" s="28"/>
      <c r="V234" s="22"/>
      <c r="W234" s="31">
        <f>ROUND(SUM(W229:W233),5)</f>
        <v>4605.32</v>
      </c>
      <c r="X234" s="22"/>
      <c r="Y234" s="32">
        <f>ROUND(SUM(Y229:Y233),5)</f>
        <v>13000</v>
      </c>
      <c r="AA234" s="32">
        <f>ROUND(SUM(AA229:AA233),5)</f>
        <v>10150</v>
      </c>
      <c r="AC234" s="30">
        <f>ROUND(SUM(AC229:AC233),5)</f>
        <v>12347.424000000001</v>
      </c>
      <c r="AD234" s="30">
        <f>ROUND(SUM(AD229:AD233),5)</f>
        <v>23346.47</v>
      </c>
      <c r="AE234" s="30">
        <f>ROUND(SUM(AE229:AE233),5)</f>
        <v>2338.0100000000002</v>
      </c>
      <c r="AG234" s="30">
        <f>ROUND(SUM(AG229:AG233),5)</f>
        <v>-7712.1040000000003</v>
      </c>
      <c r="AH234" s="30">
        <f>ROUND(SUM(AH229:AH233),5)</f>
        <v>-18869.150000000001</v>
      </c>
      <c r="AI234" s="30">
        <f>ROUND(SUM(AI229:AI233),5)</f>
        <v>2139.31</v>
      </c>
      <c r="AK234" s="30">
        <f>ROUND(SUM(AK229:AK233),5)</f>
        <v>810.57600000000002</v>
      </c>
      <c r="AL234" s="30">
        <f>ROUND(SUM(AL229:AL233),5)</f>
        <v>-10346.469999999999</v>
      </c>
      <c r="AM234" s="30">
        <f>ROUND(SUM(AM229:AM233),5)</f>
        <v>10661.99</v>
      </c>
    </row>
    <row r="235" spans="1:39" s="25" customFormat="1" x14ac:dyDescent="0.2">
      <c r="A235" s="19"/>
      <c r="B235" s="19"/>
      <c r="C235" s="19"/>
      <c r="D235" s="19"/>
      <c r="E235" s="40" t="s">
        <v>247</v>
      </c>
      <c r="F235" s="19"/>
      <c r="G235" s="19"/>
      <c r="H235" s="21"/>
      <c r="I235" s="21">
        <f>ROUND(I212+I220+I224+I228+I234,5)</f>
        <v>81154</v>
      </c>
      <c r="J235" s="21"/>
      <c r="K235" s="21">
        <f>ROUND(K212+K220+K224+K228+K234,5)</f>
        <v>99365</v>
      </c>
      <c r="L235" s="21"/>
      <c r="M235" s="21">
        <f>ROUND(M212+M220+M224+M228+M234,5)</f>
        <v>138646</v>
      </c>
      <c r="N235" s="21"/>
      <c r="O235" s="21">
        <f>ROUND(O212+O220+O224+O228+O234,5)</f>
        <v>153171.32</v>
      </c>
      <c r="P235" s="21"/>
      <c r="Q235" s="21">
        <f>ROUND(Q212+Q220+Q224+Q228+Q234,5)</f>
        <v>100823.47</v>
      </c>
      <c r="R235" s="21"/>
      <c r="S235" s="22">
        <f>ROUND(S212+S220+S224+S228+S234,5)</f>
        <v>86852.95</v>
      </c>
      <c r="T235" s="22"/>
      <c r="U235" s="22"/>
      <c r="V235" s="22"/>
      <c r="W235" s="22">
        <f>ROUND(W212+W220+W224+W228+W234,5)</f>
        <v>47065.2</v>
      </c>
      <c r="X235" s="22"/>
      <c r="Y235" s="26">
        <f>ROUND(Y212+Y220+Y224+Y228+Y234,5)</f>
        <v>108766</v>
      </c>
      <c r="AA235" s="26">
        <f>ROUND(AA212+AA220+AA224+AA228+AA234,5)</f>
        <v>87339.362800000003</v>
      </c>
      <c r="AC235" s="21">
        <f>ROUND(AC212+AC220+AC224+AC228+AC234,5)</f>
        <v>117985.06</v>
      </c>
      <c r="AD235" s="21">
        <f>ROUND(AD212+AD220+AD224+AD228+AD234,5)</f>
        <v>163706.19</v>
      </c>
      <c r="AE235" s="21">
        <f>ROUND(AE212+AE220+AE224+AE228+AE234,5)</f>
        <v>80358.070000000007</v>
      </c>
      <c r="AG235" s="21">
        <f>ROUND(AG212+AG220+AG224+AG228+AG234,5)</f>
        <v>-70889.86</v>
      </c>
      <c r="AH235" s="21">
        <f>ROUND(AH212+AH220+AH224+AH228+AH234,5)</f>
        <v>-118247.79</v>
      </c>
      <c r="AI235" s="21">
        <f>ROUND(AI212+AI220+AI224+AI228+AI234,5)</f>
        <v>-33549.15</v>
      </c>
      <c r="AK235" s="21">
        <f>ROUND(AK212+AK220+AK224+AK228+AK234,5)</f>
        <v>-9069.16</v>
      </c>
      <c r="AL235" s="21">
        <f>ROUND(AL212+AL220+AL224+AL228+AL234,5)</f>
        <v>-58985.19</v>
      </c>
      <c r="AM235" s="21">
        <f>ROUND(AM212+AM220+AM224+AM228+AM234,5)</f>
        <v>28207.93</v>
      </c>
    </row>
    <row r="236" spans="1:39" s="25" customFormat="1" x14ac:dyDescent="0.2">
      <c r="A236" s="19"/>
      <c r="B236" s="19"/>
      <c r="C236" s="19"/>
      <c r="D236" s="19"/>
      <c r="E236" s="19"/>
      <c r="F236" s="19"/>
      <c r="G236" s="19"/>
      <c r="H236" s="21"/>
      <c r="I236" s="21"/>
      <c r="J236" s="21"/>
      <c r="K236" s="21"/>
      <c r="L236" s="21"/>
      <c r="M236" s="21"/>
      <c r="N236" s="21"/>
      <c r="O236" s="21"/>
      <c r="P236" s="21"/>
      <c r="Q236" s="21"/>
      <c r="R236" s="21"/>
      <c r="S236" s="22"/>
      <c r="T236" s="22"/>
      <c r="U236" s="22"/>
      <c r="V236" s="22"/>
      <c r="W236" s="22"/>
      <c r="X236" s="22"/>
      <c r="Y236" s="26"/>
      <c r="AA236" s="26"/>
      <c r="AC236" s="21"/>
      <c r="AD236" s="21"/>
      <c r="AE236" s="21"/>
      <c r="AG236" s="21"/>
      <c r="AH236" s="21"/>
      <c r="AI236" s="21"/>
      <c r="AK236" s="21"/>
      <c r="AL236" s="21"/>
      <c r="AM236" s="21"/>
    </row>
    <row r="237" spans="1:39" s="25" customFormat="1" x14ac:dyDescent="0.2">
      <c r="A237" s="19"/>
      <c r="B237" s="19"/>
      <c r="C237" s="19"/>
      <c r="D237" s="19"/>
      <c r="E237" s="40" t="s">
        <v>248</v>
      </c>
      <c r="F237" s="19"/>
      <c r="G237" s="19"/>
      <c r="H237" s="21"/>
      <c r="I237" s="21"/>
      <c r="J237" s="21"/>
      <c r="K237" s="21"/>
      <c r="L237" s="21"/>
      <c r="M237" s="21"/>
      <c r="N237" s="21"/>
      <c r="O237" s="21"/>
      <c r="P237" s="21"/>
      <c r="Q237" s="21"/>
      <c r="R237" s="21"/>
      <c r="S237" s="22"/>
      <c r="T237" s="22"/>
      <c r="U237" s="22"/>
      <c r="V237" s="22"/>
      <c r="W237" s="22"/>
      <c r="X237" s="22"/>
      <c r="Y237" s="26"/>
      <c r="AA237" s="26"/>
      <c r="AC237" s="21"/>
      <c r="AD237" s="21"/>
      <c r="AE237" s="21"/>
      <c r="AG237" s="21"/>
      <c r="AH237" s="21"/>
      <c r="AI237" s="21"/>
      <c r="AK237" s="21"/>
      <c r="AL237" s="21"/>
      <c r="AM237" s="21"/>
    </row>
    <row r="238" spans="1:39" s="25" customFormat="1" x14ac:dyDescent="0.2">
      <c r="A238" s="19"/>
      <c r="B238" s="19"/>
      <c r="C238" s="19"/>
      <c r="D238" s="19"/>
      <c r="E238" s="19"/>
      <c r="F238" s="19" t="s">
        <v>249</v>
      </c>
      <c r="G238" s="19"/>
      <c r="H238" s="21"/>
      <c r="I238" s="21"/>
      <c r="J238" s="21"/>
      <c r="K238" s="21"/>
      <c r="L238" s="21"/>
      <c r="M238" s="21"/>
      <c r="N238" s="21"/>
      <c r="O238" s="21"/>
      <c r="P238" s="21"/>
      <c r="Q238" s="21"/>
      <c r="R238" s="21"/>
      <c r="S238" s="22"/>
      <c r="T238" s="22"/>
      <c r="U238" s="22"/>
      <c r="V238" s="22"/>
      <c r="W238" s="22"/>
      <c r="X238" s="22"/>
      <c r="Y238" s="26"/>
      <c r="AA238" s="26"/>
      <c r="AC238" s="21"/>
      <c r="AD238" s="21"/>
      <c r="AE238" s="21"/>
      <c r="AG238" s="21"/>
      <c r="AH238" s="21"/>
      <c r="AI238" s="21"/>
      <c r="AK238" s="21"/>
      <c r="AL238" s="21"/>
      <c r="AM238" s="21"/>
    </row>
    <row r="239" spans="1:39" s="25" customFormat="1" x14ac:dyDescent="0.2">
      <c r="A239" s="19"/>
      <c r="B239" s="19"/>
      <c r="C239" s="19"/>
      <c r="D239" s="19"/>
      <c r="E239" s="19"/>
      <c r="F239" s="19"/>
      <c r="G239" s="19" t="s">
        <v>250</v>
      </c>
      <c r="H239" s="21"/>
      <c r="I239" s="21">
        <v>53057</v>
      </c>
      <c r="J239" s="21"/>
      <c r="K239" s="21">
        <v>53544</v>
      </c>
      <c r="L239" s="21"/>
      <c r="M239" s="21">
        <v>57591</v>
      </c>
      <c r="N239" s="21"/>
      <c r="O239" s="21">
        <v>205716.39</v>
      </c>
      <c r="P239" s="21"/>
      <c r="Q239" s="21">
        <v>69949.41</v>
      </c>
      <c r="R239" s="21"/>
      <c r="S239" s="22">
        <v>84599.17</v>
      </c>
      <c r="T239" s="22"/>
      <c r="U239" s="22"/>
      <c r="V239" s="22"/>
      <c r="W239" s="22">
        <v>43318.99</v>
      </c>
      <c r="X239" s="22"/>
      <c r="Y239" s="26">
        <v>83977</v>
      </c>
      <c r="AA239" s="26">
        <v>78821</v>
      </c>
      <c r="AB239" s="5"/>
      <c r="AC239" s="21">
        <f t="shared" ref="AC239:AC244" si="263">AVERAGE(K239:S239)</f>
        <v>94279.994000000006</v>
      </c>
      <c r="AD239" s="21">
        <f>MAX(K239:S239)</f>
        <v>205716.39</v>
      </c>
      <c r="AE239" s="21">
        <f>MIN(K239:S239)</f>
        <v>53544</v>
      </c>
      <c r="AG239" s="21">
        <f t="shared" ref="AG239:AG244" si="264">+W239-AC239</f>
        <v>-50961.004000000008</v>
      </c>
      <c r="AH239" s="21">
        <f t="shared" ref="AH239:AH244" si="265">+W239-AD239</f>
        <v>-162397.40000000002</v>
      </c>
      <c r="AI239" s="21">
        <f t="shared" ref="AI239:AI244" si="266">+W239-AE239</f>
        <v>-10225.010000000002</v>
      </c>
      <c r="AK239" s="21">
        <f t="shared" ref="AK239:AK244" si="267">+Y239-AC239</f>
        <v>-10302.994000000006</v>
      </c>
      <c r="AL239" s="21">
        <f t="shared" ref="AL239:AL244" si="268">+Y239-AD239</f>
        <v>-121739.39000000001</v>
      </c>
      <c r="AM239" s="21">
        <f t="shared" ref="AM239:AM244" si="269">+Y239-AE239</f>
        <v>30433</v>
      </c>
    </row>
    <row r="240" spans="1:39" s="25" customFormat="1" x14ac:dyDescent="0.2">
      <c r="A240" s="19"/>
      <c r="B240" s="19"/>
      <c r="C240" s="19"/>
      <c r="D240" s="19"/>
      <c r="E240" s="19"/>
      <c r="F240" s="19"/>
      <c r="G240" s="19" t="s">
        <v>251</v>
      </c>
      <c r="H240" s="21"/>
      <c r="I240" s="21">
        <v>4527</v>
      </c>
      <c r="J240" s="21"/>
      <c r="K240" s="21">
        <v>4593</v>
      </c>
      <c r="L240" s="21"/>
      <c r="M240" s="21">
        <v>4903</v>
      </c>
      <c r="N240" s="21"/>
      <c r="O240" s="21">
        <v>18528.79</v>
      </c>
      <c r="P240" s="21"/>
      <c r="Q240" s="21">
        <v>5861.83</v>
      </c>
      <c r="R240" s="21"/>
      <c r="S240" s="22">
        <v>7145.76</v>
      </c>
      <c r="T240" s="22"/>
      <c r="U240" s="22"/>
      <c r="V240" s="22"/>
      <c r="W240" s="22">
        <v>3828.8</v>
      </c>
      <c r="X240" s="22"/>
      <c r="Y240" s="26">
        <v>6425</v>
      </c>
      <c r="AA240" s="26">
        <f>+AA239*0.0765</f>
        <v>6029.8064999999997</v>
      </c>
      <c r="AB240" s="5"/>
      <c r="AC240" s="21">
        <f t="shared" si="263"/>
        <v>8206.4760000000006</v>
      </c>
      <c r="AD240" s="21">
        <f>MAX(K240:S240)</f>
        <v>18528.79</v>
      </c>
      <c r="AE240" s="21">
        <f>MIN(K240:S240)</f>
        <v>4593</v>
      </c>
      <c r="AG240" s="21">
        <f t="shared" si="264"/>
        <v>-4377.6760000000004</v>
      </c>
      <c r="AH240" s="21">
        <f t="shared" si="265"/>
        <v>-14699.990000000002</v>
      </c>
      <c r="AI240" s="21">
        <f t="shared" si="266"/>
        <v>-764.19999999999982</v>
      </c>
      <c r="AK240" s="21">
        <f t="shared" si="267"/>
        <v>-1781.4760000000006</v>
      </c>
      <c r="AL240" s="21">
        <f t="shared" si="268"/>
        <v>-12103.79</v>
      </c>
      <c r="AM240" s="21">
        <f t="shared" si="269"/>
        <v>1832</v>
      </c>
    </row>
    <row r="241" spans="1:39" s="36" customFormat="1" x14ac:dyDescent="0.2">
      <c r="A241" s="19"/>
      <c r="B241" s="19"/>
      <c r="C241" s="19"/>
      <c r="D241" s="19"/>
      <c r="E241" s="19"/>
      <c r="F241" s="19"/>
      <c r="G241" s="19" t="s">
        <v>252</v>
      </c>
      <c r="H241" s="27"/>
      <c r="I241" s="27">
        <v>8041</v>
      </c>
      <c r="J241" s="27"/>
      <c r="K241" s="27">
        <v>8829</v>
      </c>
      <c r="L241" s="27"/>
      <c r="M241" s="27">
        <v>7750</v>
      </c>
      <c r="N241" s="27"/>
      <c r="O241" s="27">
        <v>33199.839999999997</v>
      </c>
      <c r="P241" s="27"/>
      <c r="Q241" s="21">
        <v>31695.01</v>
      </c>
      <c r="R241" s="21"/>
      <c r="S241" s="22">
        <v>32769</v>
      </c>
      <c r="T241" s="28"/>
      <c r="U241" s="28"/>
      <c r="V241" s="28"/>
      <c r="W241" s="22">
        <v>19296.509999999998</v>
      </c>
      <c r="X241" s="28"/>
      <c r="Y241" s="29">
        <v>32917</v>
      </c>
      <c r="AA241" s="29">
        <v>33541</v>
      </c>
      <c r="AB241" s="43"/>
      <c r="AC241" s="27">
        <f t="shared" si="263"/>
        <v>22848.57</v>
      </c>
      <c r="AD241" s="27">
        <f>MAX(K241:S241)</f>
        <v>33199.839999999997</v>
      </c>
      <c r="AE241" s="27">
        <f>MIN(K241:S241)</f>
        <v>7750</v>
      </c>
      <c r="AF241" s="25"/>
      <c r="AG241" s="27">
        <f t="shared" si="264"/>
        <v>-3552.0600000000013</v>
      </c>
      <c r="AH241" s="27">
        <f t="shared" si="265"/>
        <v>-13903.329999999998</v>
      </c>
      <c r="AI241" s="27">
        <f t="shared" si="266"/>
        <v>11546.509999999998</v>
      </c>
      <c r="AJ241" s="25"/>
      <c r="AK241" s="27">
        <f t="shared" si="267"/>
        <v>10068.43</v>
      </c>
      <c r="AL241" s="27">
        <f t="shared" si="268"/>
        <v>-282.83999999999651</v>
      </c>
      <c r="AM241" s="27">
        <f t="shared" si="269"/>
        <v>25167</v>
      </c>
    </row>
    <row r="242" spans="1:39" s="36" customFormat="1" x14ac:dyDescent="0.2">
      <c r="A242" s="19"/>
      <c r="B242" s="19"/>
      <c r="C242" s="19"/>
      <c r="D242" s="19"/>
      <c r="E242" s="19"/>
      <c r="F242" s="19"/>
      <c r="G242" s="19" t="s">
        <v>253</v>
      </c>
      <c r="H242" s="27"/>
      <c r="I242" s="27"/>
      <c r="J242" s="27"/>
      <c r="K242" s="27"/>
      <c r="L242" s="27"/>
      <c r="M242" s="27"/>
      <c r="N242" s="27"/>
      <c r="O242" s="27"/>
      <c r="P242" s="27"/>
      <c r="Q242" s="21">
        <v>1143.0999999999999</v>
      </c>
      <c r="R242" s="21"/>
      <c r="S242" s="22">
        <v>1218.9000000000001</v>
      </c>
      <c r="T242" s="28"/>
      <c r="U242" s="28"/>
      <c r="V242" s="28"/>
      <c r="W242" s="22">
        <v>771.55</v>
      </c>
      <c r="X242" s="28"/>
      <c r="Y242" s="29">
        <v>1256</v>
      </c>
      <c r="AA242" s="29">
        <v>1319</v>
      </c>
      <c r="AB242" s="43"/>
      <c r="AC242" s="27">
        <f t="shared" si="263"/>
        <v>1181</v>
      </c>
      <c r="AD242" s="27">
        <f>MAX(K242:S242)</f>
        <v>1218.9000000000001</v>
      </c>
      <c r="AE242" s="27">
        <f>MIN(K242:S242)</f>
        <v>1143.0999999999999</v>
      </c>
      <c r="AF242" s="25"/>
      <c r="AG242" s="27">
        <f t="shared" si="264"/>
        <v>-409.45000000000005</v>
      </c>
      <c r="AH242" s="27">
        <f t="shared" si="265"/>
        <v>-447.35000000000014</v>
      </c>
      <c r="AI242" s="27">
        <f t="shared" si="266"/>
        <v>-371.54999999999995</v>
      </c>
      <c r="AJ242" s="25"/>
      <c r="AK242" s="27">
        <f t="shared" si="267"/>
        <v>75</v>
      </c>
      <c r="AL242" s="27">
        <f t="shared" si="268"/>
        <v>37.099999999999909</v>
      </c>
      <c r="AM242" s="27">
        <f t="shared" si="269"/>
        <v>112.90000000000009</v>
      </c>
    </row>
    <row r="243" spans="1:39" s="36" customFormat="1" x14ac:dyDescent="0.2">
      <c r="A243" s="19"/>
      <c r="B243" s="19"/>
      <c r="C243" s="19"/>
      <c r="D243" s="19"/>
      <c r="E243" s="19"/>
      <c r="F243" s="19"/>
      <c r="G243" s="19" t="s">
        <v>254</v>
      </c>
      <c r="H243" s="27"/>
      <c r="I243" s="27"/>
      <c r="J243" s="27"/>
      <c r="K243" s="27"/>
      <c r="L243" s="27"/>
      <c r="M243" s="27"/>
      <c r="N243" s="27"/>
      <c r="O243" s="27"/>
      <c r="P243" s="27"/>
      <c r="Q243" s="21"/>
      <c r="R243" s="21"/>
      <c r="S243" s="22">
        <v>188</v>
      </c>
      <c r="T243" s="28"/>
      <c r="U243" s="28"/>
      <c r="V243" s="28"/>
      <c r="W243" s="22">
        <v>0</v>
      </c>
      <c r="X243" s="28"/>
      <c r="Y243" s="29">
        <v>200</v>
      </c>
      <c r="AA243" s="29">
        <v>100</v>
      </c>
      <c r="AB243" s="43"/>
      <c r="AC243" s="27">
        <f t="shared" si="263"/>
        <v>188</v>
      </c>
      <c r="AD243" s="27"/>
      <c r="AE243" s="27"/>
      <c r="AF243" s="25"/>
      <c r="AG243" s="27">
        <f t="shared" si="264"/>
        <v>-188</v>
      </c>
      <c r="AH243" s="27"/>
      <c r="AI243" s="27"/>
      <c r="AJ243" s="25"/>
      <c r="AK243" s="27"/>
      <c r="AL243" s="27"/>
      <c r="AM243" s="27"/>
    </row>
    <row r="244" spans="1:39" s="25" customFormat="1" ht="12" thickBot="1" x14ac:dyDescent="0.25">
      <c r="A244" s="19"/>
      <c r="B244" s="19"/>
      <c r="C244" s="19"/>
      <c r="D244" s="19"/>
      <c r="E244" s="19"/>
      <c r="F244" s="19"/>
      <c r="G244" s="19" t="s">
        <v>255</v>
      </c>
      <c r="H244" s="21"/>
      <c r="I244" s="33"/>
      <c r="J244" s="21"/>
      <c r="K244" s="33"/>
      <c r="L244" s="21"/>
      <c r="M244" s="33"/>
      <c r="N244" s="21"/>
      <c r="O244" s="33"/>
      <c r="P244" s="33"/>
      <c r="Q244" s="33">
        <v>0</v>
      </c>
      <c r="R244" s="33"/>
      <c r="S244" s="34">
        <v>596.25</v>
      </c>
      <c r="T244" s="28"/>
      <c r="U244" s="28"/>
      <c r="V244" s="22"/>
      <c r="W244" s="34">
        <v>217.24</v>
      </c>
      <c r="X244" s="22"/>
      <c r="Y244" s="35">
        <v>646</v>
      </c>
      <c r="AA244" s="35">
        <f>+AA239*0.79/100</f>
        <v>622.68590000000006</v>
      </c>
      <c r="AB244" s="5"/>
      <c r="AC244" s="33">
        <f t="shared" si="263"/>
        <v>298.125</v>
      </c>
      <c r="AD244" s="33">
        <f>MAX(K244:S244)</f>
        <v>596.25</v>
      </c>
      <c r="AE244" s="33">
        <f>MIN(K244:S244)</f>
        <v>0</v>
      </c>
      <c r="AG244" s="33">
        <f t="shared" si="264"/>
        <v>-80.884999999999991</v>
      </c>
      <c r="AH244" s="33">
        <f t="shared" si="265"/>
        <v>-379.01</v>
      </c>
      <c r="AI244" s="33">
        <f t="shared" si="266"/>
        <v>217.24</v>
      </c>
      <c r="AK244" s="33">
        <f t="shared" si="267"/>
        <v>347.875</v>
      </c>
      <c r="AL244" s="33">
        <f t="shared" si="268"/>
        <v>49.75</v>
      </c>
      <c r="AM244" s="33">
        <f t="shared" si="269"/>
        <v>646</v>
      </c>
    </row>
    <row r="245" spans="1:39" s="25" customFormat="1" x14ac:dyDescent="0.2">
      <c r="A245" s="19"/>
      <c r="B245" s="19"/>
      <c r="C245" s="19"/>
      <c r="D245" s="19"/>
      <c r="E245" s="19"/>
      <c r="F245" s="19" t="s">
        <v>256</v>
      </c>
      <c r="G245" s="19"/>
      <c r="H245" s="21"/>
      <c r="I245" s="21">
        <f>ROUND(SUM(I238:I244),5)</f>
        <v>65625</v>
      </c>
      <c r="J245" s="21"/>
      <c r="K245" s="21">
        <f>ROUND(SUM(K238:K244),5)</f>
        <v>66966</v>
      </c>
      <c r="L245" s="21"/>
      <c r="M245" s="21">
        <f>ROUND(SUM(M238:M244),5)</f>
        <v>70244</v>
      </c>
      <c r="N245" s="21"/>
      <c r="O245" s="21">
        <f>ROUND(SUM(O238:O244),5)</f>
        <v>257445.02</v>
      </c>
      <c r="P245" s="21"/>
      <c r="Q245" s="21">
        <f>ROUND(SUM(Q238:Q244),5)</f>
        <v>108649.35</v>
      </c>
      <c r="R245" s="21"/>
      <c r="S245" s="26">
        <f>ROUND(SUM(S238:S244),5)</f>
        <v>126517.08</v>
      </c>
      <c r="T245" s="22"/>
      <c r="U245" s="22"/>
      <c r="V245" s="22"/>
      <c r="W245" s="26">
        <f>ROUND(SUM(W238:W244),5)</f>
        <v>67433.09</v>
      </c>
      <c r="X245" s="22"/>
      <c r="Y245" s="26">
        <f>ROUND(SUM(Y238:Y244),5)</f>
        <v>125421</v>
      </c>
      <c r="AA245" s="26">
        <f>ROUND(SUM(AA238:AA244),5)</f>
        <v>120433.4924</v>
      </c>
      <c r="AB245" s="5"/>
      <c r="AC245" s="21">
        <f>ROUND(SUM(AC238:AC244),5)</f>
        <v>127002.16499999999</v>
      </c>
      <c r="AD245" s="21">
        <f>ROUND(SUM(AD238:AD244),5)</f>
        <v>259260.17</v>
      </c>
      <c r="AE245" s="21">
        <f>ROUND(SUM(AE238:AE244),5)</f>
        <v>67030.100000000006</v>
      </c>
      <c r="AG245" s="21">
        <f>ROUND(SUM(AG238:AG244),5)</f>
        <v>-59569.074999999997</v>
      </c>
      <c r="AH245" s="21">
        <f>ROUND(SUM(AH238:AH244),5)</f>
        <v>-191827.08</v>
      </c>
      <c r="AI245" s="21">
        <f>ROUND(SUM(AI238:AI244),5)</f>
        <v>402.99</v>
      </c>
      <c r="AJ245" s="21"/>
      <c r="AK245" s="21">
        <f>ROUND(SUM(AK238:AK244),5)</f>
        <v>-1593.165</v>
      </c>
      <c r="AL245" s="21">
        <f>ROUND(SUM(AL238:AL244),5)</f>
        <v>-134039.17000000001</v>
      </c>
      <c r="AM245" s="21">
        <f>ROUND(SUM(AM238:AM244),5)</f>
        <v>58190.9</v>
      </c>
    </row>
    <row r="246" spans="1:39" s="25" customFormat="1" x14ac:dyDescent="0.2">
      <c r="A246" s="19"/>
      <c r="B246" s="19"/>
      <c r="C246" s="19"/>
      <c r="D246" s="19"/>
      <c r="E246" s="19"/>
      <c r="F246" s="24" t="s">
        <v>257</v>
      </c>
      <c r="G246" s="19"/>
      <c r="H246" s="21"/>
      <c r="I246" s="21"/>
      <c r="J246" s="21"/>
      <c r="K246" s="21"/>
      <c r="L246" s="21"/>
      <c r="M246" s="21"/>
      <c r="N246" s="21"/>
      <c r="O246" s="21"/>
      <c r="P246" s="21"/>
      <c r="Q246" s="21"/>
      <c r="R246" s="21"/>
      <c r="S246" s="22"/>
      <c r="T246" s="22"/>
      <c r="U246" s="22"/>
      <c r="V246" s="22"/>
      <c r="W246" s="22"/>
      <c r="X246" s="22"/>
      <c r="Y246" s="26"/>
      <c r="AA246" s="26"/>
      <c r="AC246" s="21"/>
      <c r="AD246" s="21"/>
      <c r="AE246" s="21"/>
      <c r="AG246" s="21"/>
      <c r="AH246" s="21"/>
      <c r="AI246" s="21"/>
      <c r="AK246" s="21"/>
      <c r="AL246" s="21"/>
      <c r="AM246" s="21"/>
    </row>
    <row r="247" spans="1:39" s="25" customFormat="1" x14ac:dyDescent="0.2">
      <c r="A247" s="19"/>
      <c r="B247" s="19"/>
      <c r="C247" s="19"/>
      <c r="D247" s="19"/>
      <c r="E247" s="19"/>
      <c r="F247" s="19"/>
      <c r="G247" s="19" t="s">
        <v>258</v>
      </c>
      <c r="H247" s="21"/>
      <c r="I247" s="21"/>
      <c r="J247" s="21"/>
      <c r="K247" s="21"/>
      <c r="L247" s="21"/>
      <c r="M247" s="21"/>
      <c r="N247" s="21"/>
      <c r="O247" s="21"/>
      <c r="P247" s="21"/>
      <c r="Q247" s="21">
        <v>86346.12</v>
      </c>
      <c r="R247" s="21"/>
      <c r="S247" s="22">
        <v>57536.82</v>
      </c>
      <c r="T247" s="22"/>
      <c r="U247" s="22"/>
      <c r="V247" s="22"/>
      <c r="W247" s="22">
        <v>15680.59</v>
      </c>
      <c r="X247" s="22"/>
      <c r="Y247" s="26">
        <v>82500</v>
      </c>
      <c r="AA247" s="26">
        <v>85000</v>
      </c>
      <c r="AC247" s="21">
        <f t="shared" ref="AC247:AC250" si="270">AVERAGE(K247:S247)</f>
        <v>71941.47</v>
      </c>
      <c r="AD247" s="21">
        <f>MAX(K247:S247)</f>
        <v>86346.12</v>
      </c>
      <c r="AE247" s="21">
        <f>MIN(K247:S247)</f>
        <v>57536.82</v>
      </c>
      <c r="AG247" s="21">
        <f t="shared" ref="AG247:AG250" si="271">+W247-AC247</f>
        <v>-56260.880000000005</v>
      </c>
      <c r="AH247" s="21">
        <f t="shared" ref="AH247:AH250" si="272">+W247-AD247</f>
        <v>-70665.53</v>
      </c>
      <c r="AI247" s="21">
        <f t="shared" ref="AI247:AI250" si="273">+W247-AE247</f>
        <v>-41856.229999999996</v>
      </c>
      <c r="AK247" s="21">
        <f t="shared" ref="AK247:AK250" si="274">+Y247-AC247</f>
        <v>10558.529999999999</v>
      </c>
      <c r="AL247" s="21">
        <f t="shared" ref="AL247:AL250" si="275">+Y247-AD247</f>
        <v>-3846.1199999999953</v>
      </c>
      <c r="AM247" s="21">
        <f t="shared" ref="AM247:AM250" si="276">+Y247-AE247</f>
        <v>24963.18</v>
      </c>
    </row>
    <row r="248" spans="1:39" s="25" customFormat="1" x14ac:dyDescent="0.2">
      <c r="A248" s="19"/>
      <c r="B248" s="19"/>
      <c r="C248" s="19"/>
      <c r="D248" s="19"/>
      <c r="E248" s="19"/>
      <c r="F248" s="19"/>
      <c r="G248" s="19" t="s">
        <v>259</v>
      </c>
      <c r="H248" s="21"/>
      <c r="I248" s="21"/>
      <c r="J248" s="21"/>
      <c r="K248" s="21"/>
      <c r="L248" s="21"/>
      <c r="M248" s="21"/>
      <c r="N248" s="21"/>
      <c r="O248" s="21"/>
      <c r="P248" s="21"/>
      <c r="Q248" s="21">
        <v>7892.36</v>
      </c>
      <c r="R248" s="21"/>
      <c r="S248" s="22">
        <v>5303.14</v>
      </c>
      <c r="T248" s="22"/>
      <c r="U248" s="22"/>
      <c r="V248" s="22"/>
      <c r="W248" s="22">
        <v>2622.42</v>
      </c>
      <c r="X248" s="22"/>
      <c r="Y248" s="26">
        <v>6312</v>
      </c>
      <c r="AA248" s="26">
        <f>+AA247*0.0765</f>
        <v>6502.5</v>
      </c>
      <c r="AC248" s="21">
        <f t="shared" si="270"/>
        <v>6597.75</v>
      </c>
      <c r="AD248" s="21">
        <f>MAX(K248:S248)</f>
        <v>7892.36</v>
      </c>
      <c r="AE248" s="21">
        <f>MIN(K248:S248)</f>
        <v>5303.14</v>
      </c>
      <c r="AG248" s="21">
        <f t="shared" si="271"/>
        <v>-3975.33</v>
      </c>
      <c r="AH248" s="21">
        <f t="shared" si="272"/>
        <v>-5269.94</v>
      </c>
      <c r="AI248" s="21">
        <f t="shared" si="273"/>
        <v>-2680.7200000000003</v>
      </c>
      <c r="AK248" s="21">
        <f t="shared" si="274"/>
        <v>-285.75</v>
      </c>
      <c r="AL248" s="21">
        <f t="shared" si="275"/>
        <v>-1580.3599999999997</v>
      </c>
      <c r="AM248" s="21">
        <f t="shared" si="276"/>
        <v>1008.8599999999997</v>
      </c>
    </row>
    <row r="249" spans="1:39" s="36" customFormat="1" x14ac:dyDescent="0.2">
      <c r="A249" s="19"/>
      <c r="B249" s="19"/>
      <c r="C249" s="19"/>
      <c r="D249" s="19"/>
      <c r="E249" s="19"/>
      <c r="F249" s="19"/>
      <c r="G249" s="19" t="s">
        <v>260</v>
      </c>
      <c r="H249" s="27"/>
      <c r="I249" s="27"/>
      <c r="J249" s="27"/>
      <c r="K249" s="27"/>
      <c r="L249" s="27"/>
      <c r="M249" s="27"/>
      <c r="N249" s="27"/>
      <c r="O249" s="27"/>
      <c r="P249" s="27"/>
      <c r="Q249" s="21">
        <v>283.92</v>
      </c>
      <c r="R249" s="21"/>
      <c r="S249" s="22">
        <v>698.49</v>
      </c>
      <c r="T249" s="28"/>
      <c r="U249" s="28"/>
      <c r="V249" s="28"/>
      <c r="W249" s="22">
        <v>0</v>
      </c>
      <c r="X249" s="28"/>
      <c r="Y249" s="29">
        <v>700</v>
      </c>
      <c r="AA249" s="29">
        <v>700</v>
      </c>
      <c r="AC249" s="27">
        <f t="shared" si="270"/>
        <v>491.20500000000004</v>
      </c>
      <c r="AD249" s="27">
        <f>MAX(K249:S249)</f>
        <v>698.49</v>
      </c>
      <c r="AE249" s="27">
        <f>MIN(K249:S249)</f>
        <v>283.92</v>
      </c>
      <c r="AF249" s="25"/>
      <c r="AG249" s="27">
        <f t="shared" si="271"/>
        <v>-491.20500000000004</v>
      </c>
      <c r="AH249" s="27">
        <f t="shared" si="272"/>
        <v>-698.49</v>
      </c>
      <c r="AI249" s="27">
        <f t="shared" si="273"/>
        <v>-283.92</v>
      </c>
      <c r="AJ249" s="25"/>
      <c r="AK249" s="27">
        <f t="shared" si="274"/>
        <v>208.79499999999996</v>
      </c>
      <c r="AL249" s="27">
        <f t="shared" si="275"/>
        <v>1.5099999999999909</v>
      </c>
      <c r="AM249" s="27">
        <f t="shared" si="276"/>
        <v>416.08</v>
      </c>
    </row>
    <row r="250" spans="1:39" s="25" customFormat="1" ht="12" thickBot="1" x14ac:dyDescent="0.25">
      <c r="A250" s="19"/>
      <c r="B250" s="19"/>
      <c r="C250" s="19"/>
      <c r="D250" s="19"/>
      <c r="E250" s="19"/>
      <c r="F250" s="19"/>
      <c r="G250" s="19" t="s">
        <v>261</v>
      </c>
      <c r="H250" s="21"/>
      <c r="I250" s="33"/>
      <c r="J250" s="21"/>
      <c r="K250" s="33"/>
      <c r="L250" s="21"/>
      <c r="M250" s="33"/>
      <c r="N250" s="21"/>
      <c r="O250" s="33"/>
      <c r="P250" s="33"/>
      <c r="Q250" s="33">
        <v>0</v>
      </c>
      <c r="R250" s="33"/>
      <c r="S250" s="34">
        <v>621</v>
      </c>
      <c r="T250" s="28"/>
      <c r="U250" s="28"/>
      <c r="V250" s="22"/>
      <c r="W250" s="34">
        <v>225.44</v>
      </c>
      <c r="X250" s="22"/>
      <c r="Y250" s="35">
        <v>652</v>
      </c>
      <c r="AA250" s="35">
        <f>0.79*AA247/100</f>
        <v>671.5</v>
      </c>
      <c r="AC250" s="33">
        <f t="shared" si="270"/>
        <v>310.5</v>
      </c>
      <c r="AD250" s="33">
        <f>MAX(K250:S250)</f>
        <v>621</v>
      </c>
      <c r="AE250" s="33">
        <f>MIN(K250:S250)</f>
        <v>0</v>
      </c>
      <c r="AG250" s="33">
        <f t="shared" si="271"/>
        <v>-85.06</v>
      </c>
      <c r="AH250" s="33">
        <f t="shared" si="272"/>
        <v>-395.56</v>
      </c>
      <c r="AI250" s="33">
        <f t="shared" si="273"/>
        <v>225.44</v>
      </c>
      <c r="AK250" s="33">
        <f t="shared" si="274"/>
        <v>341.5</v>
      </c>
      <c r="AL250" s="33">
        <f t="shared" si="275"/>
        <v>31</v>
      </c>
      <c r="AM250" s="33">
        <f t="shared" si="276"/>
        <v>652</v>
      </c>
    </row>
    <row r="251" spans="1:39" s="25" customFormat="1" x14ac:dyDescent="0.2">
      <c r="A251" s="19"/>
      <c r="B251" s="19"/>
      <c r="C251" s="19"/>
      <c r="D251" s="19"/>
      <c r="E251" s="19"/>
      <c r="F251" s="19" t="s">
        <v>262</v>
      </c>
      <c r="G251" s="19"/>
      <c r="H251" s="21"/>
      <c r="I251" s="21">
        <f>ROUND(SUM(I246:I250),5)</f>
        <v>0</v>
      </c>
      <c r="J251" s="21"/>
      <c r="K251" s="21">
        <f>ROUND(SUM(K246:K250),5)</f>
        <v>0</v>
      </c>
      <c r="L251" s="21"/>
      <c r="M251" s="21">
        <f>ROUND(SUM(M246:M250),5)</f>
        <v>0</v>
      </c>
      <c r="N251" s="21"/>
      <c r="O251" s="21">
        <f>ROUND(SUM(O246:O250),5)</f>
        <v>0</v>
      </c>
      <c r="P251" s="21"/>
      <c r="Q251" s="21">
        <f>ROUND(SUM(Q246:Q250),5)</f>
        <v>94522.4</v>
      </c>
      <c r="R251" s="21"/>
      <c r="S251" s="26">
        <f>ROUND(SUM(S246:S250),5)</f>
        <v>64159.45</v>
      </c>
      <c r="T251" s="22"/>
      <c r="U251" s="22"/>
      <c r="V251" s="22"/>
      <c r="W251" s="26">
        <f>ROUND(SUM(W246:W250),5)</f>
        <v>18528.45</v>
      </c>
      <c r="X251" s="22"/>
      <c r="Y251" s="26">
        <f>ROUND(SUM(Y246:Y250),5)</f>
        <v>90164</v>
      </c>
      <c r="AA251" s="26">
        <f>ROUND(SUM(AA246:AA250),5)</f>
        <v>92874</v>
      </c>
      <c r="AC251" s="21">
        <f>ROUND(SUM(AC246:AC250),5)</f>
        <v>79340.925000000003</v>
      </c>
      <c r="AD251" s="21">
        <f>ROUND(SUM(AD246:AD250),5)</f>
        <v>95557.97</v>
      </c>
      <c r="AE251" s="21">
        <f>ROUND(SUM(AE246:AE250),5)</f>
        <v>63123.88</v>
      </c>
      <c r="AG251" s="21">
        <f>ROUND(SUM(AG246:AG250),5)</f>
        <v>-60812.474999999999</v>
      </c>
      <c r="AH251" s="21">
        <f>ROUND(SUM(AH246:AH250),5)</f>
        <v>-77029.52</v>
      </c>
      <c r="AI251" s="21">
        <f>ROUND(SUM(AI246:AI250),5)</f>
        <v>-44595.43</v>
      </c>
      <c r="AK251" s="21">
        <f>ROUND(SUM(AK246:AK250),5)</f>
        <v>10823.075000000001</v>
      </c>
      <c r="AL251" s="21">
        <f>ROUND(SUM(AL246:AL250),5)</f>
        <v>-5393.97</v>
      </c>
      <c r="AM251" s="21">
        <f>ROUND(SUM(AM246:AM250),5)</f>
        <v>27040.12</v>
      </c>
    </row>
    <row r="252" spans="1:39" s="25" customFormat="1" x14ac:dyDescent="0.2">
      <c r="A252" s="19"/>
      <c r="B252" s="19"/>
      <c r="C252" s="19"/>
      <c r="D252" s="19"/>
      <c r="E252" s="19"/>
      <c r="F252" s="19" t="s">
        <v>263</v>
      </c>
      <c r="G252" s="19"/>
      <c r="H252" s="21"/>
      <c r="I252" s="21"/>
      <c r="J252" s="21"/>
      <c r="K252" s="21"/>
      <c r="L252" s="21"/>
      <c r="M252" s="21"/>
      <c r="N252" s="21"/>
      <c r="O252" s="21"/>
      <c r="P252" s="21"/>
      <c r="Q252" s="21"/>
      <c r="R252" s="21"/>
      <c r="S252" s="22"/>
      <c r="T252" s="22"/>
      <c r="U252" s="22"/>
      <c r="V252" s="22"/>
      <c r="W252" s="22"/>
      <c r="X252" s="22"/>
      <c r="Y252" s="26"/>
      <c r="AA252" s="26"/>
      <c r="AC252" s="21"/>
      <c r="AD252" s="21"/>
      <c r="AE252" s="21"/>
      <c r="AG252" s="21"/>
      <c r="AH252" s="21"/>
      <c r="AI252" s="21"/>
      <c r="AK252" s="21"/>
      <c r="AL252" s="21"/>
      <c r="AM252" s="21"/>
    </row>
    <row r="253" spans="1:39" s="25" customFormat="1" x14ac:dyDescent="0.2">
      <c r="A253" s="19"/>
      <c r="B253" s="19"/>
      <c r="C253" s="19"/>
      <c r="D253" s="19"/>
      <c r="E253" s="19"/>
      <c r="F253" s="19"/>
      <c r="G253" s="19" t="s">
        <v>264</v>
      </c>
      <c r="H253" s="21"/>
      <c r="I253" s="21">
        <v>684</v>
      </c>
      <c r="J253" s="21"/>
      <c r="K253" s="21">
        <v>655</v>
      </c>
      <c r="L253" s="21"/>
      <c r="M253" s="21">
        <v>1198</v>
      </c>
      <c r="N253" s="21"/>
      <c r="O253" s="21">
        <v>6712.46</v>
      </c>
      <c r="P253" s="21"/>
      <c r="Q253" s="21">
        <v>12162.82</v>
      </c>
      <c r="R253" s="21"/>
      <c r="S253" s="22">
        <v>12755.44</v>
      </c>
      <c r="T253" s="22"/>
      <c r="U253" s="22"/>
      <c r="V253" s="22"/>
      <c r="W253" s="22">
        <v>6104.46</v>
      </c>
      <c r="X253" s="22"/>
      <c r="Y253" s="26">
        <v>12000</v>
      </c>
      <c r="AA253" s="26">
        <v>14001</v>
      </c>
      <c r="AC253" s="21">
        <f t="shared" ref="AC253:AC256" si="277">AVERAGE(K253:S253)</f>
        <v>6696.7440000000006</v>
      </c>
      <c r="AD253" s="21">
        <f>MAX(K253:S253)</f>
        <v>12755.44</v>
      </c>
      <c r="AE253" s="21">
        <f>MIN(K253:S253)</f>
        <v>655</v>
      </c>
      <c r="AG253" s="21">
        <f t="shared" ref="AG253:AG256" si="278">+W253-AC253</f>
        <v>-592.28400000000056</v>
      </c>
      <c r="AH253" s="21">
        <f t="shared" ref="AH253:AH256" si="279">+W253-AD253</f>
        <v>-6650.9800000000005</v>
      </c>
      <c r="AI253" s="21">
        <f t="shared" ref="AI253:AI256" si="280">+W253-AE253</f>
        <v>5449.46</v>
      </c>
      <c r="AK253" s="21">
        <f t="shared" ref="AK253:AK256" si="281">+Y253-AC253</f>
        <v>5303.2559999999994</v>
      </c>
      <c r="AL253" s="21">
        <f t="shared" ref="AL253:AL256" si="282">+Y253-AD253</f>
        <v>-755.44000000000051</v>
      </c>
      <c r="AM253" s="21">
        <f t="shared" ref="AM253:AM256" si="283">+Y253-AE253</f>
        <v>11345</v>
      </c>
    </row>
    <row r="254" spans="1:39" s="25" customFormat="1" x14ac:dyDescent="0.2">
      <c r="A254" s="19"/>
      <c r="B254" s="19"/>
      <c r="C254" s="19"/>
      <c r="D254" s="19"/>
      <c r="E254" s="19"/>
      <c r="F254" s="19"/>
      <c r="G254" s="19" t="s">
        <v>265</v>
      </c>
      <c r="H254" s="21"/>
      <c r="I254" s="21"/>
      <c r="J254" s="21"/>
      <c r="K254" s="21"/>
      <c r="L254" s="21"/>
      <c r="M254" s="21"/>
      <c r="N254" s="21"/>
      <c r="O254" s="21"/>
      <c r="P254" s="21"/>
      <c r="Q254" s="21">
        <v>1150</v>
      </c>
      <c r="R254" s="21"/>
      <c r="S254" s="22">
        <v>0</v>
      </c>
      <c r="T254" s="22"/>
      <c r="U254" s="22"/>
      <c r="V254" s="22"/>
      <c r="W254" s="22"/>
      <c r="X254" s="22"/>
      <c r="Y254" s="26">
        <v>0</v>
      </c>
      <c r="AA254" s="26"/>
      <c r="AC254" s="21">
        <f t="shared" si="277"/>
        <v>575</v>
      </c>
      <c r="AD254" s="21">
        <f>MAX(K254:S254)</f>
        <v>1150</v>
      </c>
      <c r="AE254" s="21">
        <f>MIN(K254:S254)</f>
        <v>0</v>
      </c>
      <c r="AG254" s="21">
        <f t="shared" si="278"/>
        <v>-575</v>
      </c>
      <c r="AH254" s="21">
        <f t="shared" si="279"/>
        <v>-1150</v>
      </c>
      <c r="AI254" s="21">
        <f t="shared" si="280"/>
        <v>0</v>
      </c>
      <c r="AK254" s="21">
        <f t="shared" si="281"/>
        <v>-575</v>
      </c>
      <c r="AL254" s="21">
        <f t="shared" si="282"/>
        <v>-1150</v>
      </c>
      <c r="AM254" s="21">
        <f t="shared" si="283"/>
        <v>0</v>
      </c>
    </row>
    <row r="255" spans="1:39" s="25" customFormat="1" x14ac:dyDescent="0.2">
      <c r="A255" s="19"/>
      <c r="B255" s="19"/>
      <c r="C255" s="19"/>
      <c r="D255" s="19"/>
      <c r="E255" s="19"/>
      <c r="F255" s="19"/>
      <c r="G255" s="19" t="s">
        <v>266</v>
      </c>
      <c r="H255" s="21"/>
      <c r="I255" s="21"/>
      <c r="J255" s="21"/>
      <c r="K255" s="21"/>
      <c r="L255" s="21"/>
      <c r="M255" s="21"/>
      <c r="N255" s="21"/>
      <c r="O255" s="21"/>
      <c r="P255" s="21"/>
      <c r="Q255" s="21">
        <v>411</v>
      </c>
      <c r="R255" s="21"/>
      <c r="S255" s="22">
        <v>432.89</v>
      </c>
      <c r="T255" s="22"/>
      <c r="U255" s="22"/>
      <c r="V255" s="22"/>
      <c r="W255" s="22"/>
      <c r="X255" s="22"/>
      <c r="Y255" s="26">
        <v>450</v>
      </c>
      <c r="AA255" s="26">
        <v>450</v>
      </c>
      <c r="AC255" s="21">
        <f t="shared" si="277"/>
        <v>421.94499999999999</v>
      </c>
      <c r="AD255" s="21">
        <f>MAX(K255:S255)</f>
        <v>432.89</v>
      </c>
      <c r="AE255" s="21">
        <f>MIN(K255:S255)</f>
        <v>411</v>
      </c>
      <c r="AG255" s="21">
        <f t="shared" si="278"/>
        <v>-421.94499999999999</v>
      </c>
      <c r="AH255" s="21">
        <f t="shared" si="279"/>
        <v>-432.89</v>
      </c>
      <c r="AI255" s="21">
        <f t="shared" si="280"/>
        <v>-411</v>
      </c>
      <c r="AK255" s="21">
        <f t="shared" si="281"/>
        <v>28.055000000000007</v>
      </c>
      <c r="AL255" s="21">
        <f t="shared" si="282"/>
        <v>17.110000000000014</v>
      </c>
      <c r="AM255" s="21">
        <f t="shared" si="283"/>
        <v>39</v>
      </c>
    </row>
    <row r="256" spans="1:39" s="25" customFormat="1" ht="12" thickBot="1" x14ac:dyDescent="0.25">
      <c r="A256" s="19"/>
      <c r="B256" s="19"/>
      <c r="C256" s="19"/>
      <c r="D256" s="19"/>
      <c r="E256" s="19"/>
      <c r="F256" s="19"/>
      <c r="G256" s="19" t="s">
        <v>267</v>
      </c>
      <c r="H256" s="21"/>
      <c r="I256" s="33"/>
      <c r="J256" s="21"/>
      <c r="K256" s="33"/>
      <c r="L256" s="21"/>
      <c r="M256" s="33"/>
      <c r="N256" s="21"/>
      <c r="O256" s="33"/>
      <c r="P256" s="33"/>
      <c r="Q256" s="33">
        <v>4481.8100000000004</v>
      </c>
      <c r="R256" s="33"/>
      <c r="S256" s="34">
        <v>3927.97</v>
      </c>
      <c r="T256" s="28"/>
      <c r="U256" s="28"/>
      <c r="V256" s="22"/>
      <c r="W256" s="34">
        <v>11451.49</v>
      </c>
      <c r="X256" s="22"/>
      <c r="Y256" s="35">
        <v>1200</v>
      </c>
      <c r="AA256" s="35">
        <v>1200</v>
      </c>
      <c r="AC256" s="33">
        <f t="shared" si="277"/>
        <v>4204.8900000000003</v>
      </c>
      <c r="AD256" s="33">
        <f>MAX(K256:S256)</f>
        <v>4481.8100000000004</v>
      </c>
      <c r="AE256" s="33">
        <f>MIN(K256:S256)</f>
        <v>3927.97</v>
      </c>
      <c r="AG256" s="33">
        <f t="shared" si="278"/>
        <v>7246.5999999999995</v>
      </c>
      <c r="AH256" s="33">
        <f t="shared" si="279"/>
        <v>6969.6799999999994</v>
      </c>
      <c r="AI256" s="33">
        <f t="shared" si="280"/>
        <v>7523.52</v>
      </c>
      <c r="AK256" s="33">
        <f t="shared" si="281"/>
        <v>-3004.8900000000003</v>
      </c>
      <c r="AL256" s="33">
        <f t="shared" si="282"/>
        <v>-3281.8100000000004</v>
      </c>
      <c r="AM256" s="33">
        <f t="shared" si="283"/>
        <v>-2727.97</v>
      </c>
    </row>
    <row r="257" spans="1:39" s="25" customFormat="1" x14ac:dyDescent="0.2">
      <c r="A257" s="19"/>
      <c r="B257" s="19"/>
      <c r="C257" s="19"/>
      <c r="D257" s="19"/>
      <c r="E257" s="19"/>
      <c r="F257" s="19" t="s">
        <v>268</v>
      </c>
      <c r="G257" s="19"/>
      <c r="H257" s="21"/>
      <c r="I257" s="21">
        <f>ROUND(SUM(I252:I256),5)</f>
        <v>684</v>
      </c>
      <c r="J257" s="21"/>
      <c r="K257" s="21">
        <f>ROUND(SUM(K252:K256),5)</f>
        <v>655</v>
      </c>
      <c r="L257" s="21"/>
      <c r="M257" s="21">
        <f>ROUND(SUM(M252:M256),5)</f>
        <v>1198</v>
      </c>
      <c r="N257" s="21"/>
      <c r="O257" s="21">
        <f>ROUND(SUM(O252:O256),5)</f>
        <v>6712.46</v>
      </c>
      <c r="P257" s="21"/>
      <c r="Q257" s="21">
        <f>ROUND(SUM(Q252:Q256),5)</f>
        <v>18205.63</v>
      </c>
      <c r="R257" s="21"/>
      <c r="S257" s="22">
        <f>ROUND(SUM(S252:S256),5)</f>
        <v>17116.3</v>
      </c>
      <c r="T257" s="22"/>
      <c r="U257" s="22"/>
      <c r="V257" s="22"/>
      <c r="W257" s="22">
        <f>ROUND(SUM(W252:W256),5)</f>
        <v>17555.95</v>
      </c>
      <c r="X257" s="22"/>
      <c r="Y257" s="26">
        <f>ROUND(SUM(Y252:Y256),5)</f>
        <v>13650</v>
      </c>
      <c r="AA257" s="26">
        <f>ROUND(SUM(AA252:AA256),5)</f>
        <v>15651</v>
      </c>
      <c r="AC257" s="21">
        <f t="shared" ref="AC257:AE257" si="284">ROUND(SUM(AC252:AC256),5)</f>
        <v>11898.579</v>
      </c>
      <c r="AD257" s="21">
        <f t="shared" si="284"/>
        <v>18820.14</v>
      </c>
      <c r="AE257" s="21">
        <f t="shared" si="284"/>
        <v>4993.97</v>
      </c>
      <c r="AG257" s="21">
        <f t="shared" ref="AG257:AI257" si="285">ROUND(SUM(AG252:AG256),5)</f>
        <v>5657.3710000000001</v>
      </c>
      <c r="AH257" s="21">
        <f t="shared" si="285"/>
        <v>-1264.19</v>
      </c>
      <c r="AI257" s="21">
        <f t="shared" si="285"/>
        <v>12561.98</v>
      </c>
      <c r="AK257" s="21">
        <f t="shared" ref="AK257:AM257" si="286">ROUND(SUM(AK252:AK256),5)</f>
        <v>1751.421</v>
      </c>
      <c r="AL257" s="21">
        <f t="shared" si="286"/>
        <v>-5170.1400000000003</v>
      </c>
      <c r="AM257" s="21">
        <f t="shared" si="286"/>
        <v>8656.0300000000007</v>
      </c>
    </row>
    <row r="258" spans="1:39" s="25" customFormat="1" x14ac:dyDescent="0.2">
      <c r="A258" s="19"/>
      <c r="B258" s="19"/>
      <c r="C258" s="19"/>
      <c r="D258" s="19"/>
      <c r="E258" s="19"/>
      <c r="F258" s="19" t="s">
        <v>269</v>
      </c>
      <c r="G258" s="19"/>
      <c r="H258" s="21"/>
      <c r="I258" s="21"/>
      <c r="J258" s="21"/>
      <c r="K258" s="21"/>
      <c r="L258" s="21"/>
      <c r="M258" s="21"/>
      <c r="N258" s="21"/>
      <c r="O258" s="21"/>
      <c r="P258" s="21"/>
      <c r="Q258" s="21"/>
      <c r="R258" s="21"/>
      <c r="S258" s="22"/>
      <c r="T258" s="22"/>
      <c r="U258" s="22"/>
      <c r="V258" s="22"/>
      <c r="W258" s="22"/>
      <c r="X258" s="22"/>
      <c r="Y258" s="26"/>
      <c r="AA258" s="26"/>
      <c r="AC258" s="21"/>
      <c r="AD258" s="21"/>
      <c r="AE258" s="21"/>
      <c r="AG258" s="21"/>
      <c r="AH258" s="21"/>
      <c r="AI258" s="21"/>
      <c r="AK258" s="21"/>
      <c r="AL258" s="21"/>
      <c r="AM258" s="21"/>
    </row>
    <row r="259" spans="1:39" s="25" customFormat="1" x14ac:dyDescent="0.2">
      <c r="A259" s="19"/>
      <c r="B259" s="19"/>
      <c r="C259" s="19"/>
      <c r="D259" s="19"/>
      <c r="E259" s="19"/>
      <c r="F259" s="19"/>
      <c r="G259" s="19" t="s">
        <v>270</v>
      </c>
      <c r="H259" s="21"/>
      <c r="I259" s="21">
        <v>1826</v>
      </c>
      <c r="J259" s="21"/>
      <c r="K259" s="21">
        <v>1543</v>
      </c>
      <c r="L259" s="21"/>
      <c r="M259" s="21">
        <v>1339</v>
      </c>
      <c r="N259" s="21"/>
      <c r="O259" s="21">
        <v>1630.07</v>
      </c>
      <c r="P259" s="21"/>
      <c r="Q259" s="21">
        <v>67.3</v>
      </c>
      <c r="R259" s="21"/>
      <c r="S259" s="22">
        <v>270.89</v>
      </c>
      <c r="T259" s="22"/>
      <c r="U259" s="22"/>
      <c r="V259" s="22"/>
      <c r="W259" s="22">
        <v>0</v>
      </c>
      <c r="X259" s="22"/>
      <c r="Y259" s="26">
        <v>300</v>
      </c>
      <c r="AA259" s="26">
        <v>0</v>
      </c>
      <c r="AC259" s="21">
        <f t="shared" ref="AC259:AC261" si="287">AVERAGE(K259:S259)</f>
        <v>970.05200000000002</v>
      </c>
      <c r="AD259" s="21">
        <f>MAX(K259:S259)</f>
        <v>1630.07</v>
      </c>
      <c r="AE259" s="21">
        <f>MIN(K259:S259)</f>
        <v>67.3</v>
      </c>
      <c r="AG259" s="21">
        <f t="shared" ref="AG259:AG261" si="288">+W259-AC259</f>
        <v>-970.05200000000002</v>
      </c>
      <c r="AH259" s="21">
        <f t="shared" ref="AH259:AH261" si="289">+W259-AD259</f>
        <v>-1630.07</v>
      </c>
      <c r="AI259" s="21">
        <f t="shared" ref="AI259:AI261" si="290">+W259-AE259</f>
        <v>-67.3</v>
      </c>
      <c r="AK259" s="21">
        <f t="shared" ref="AK259:AK261" si="291">+Y259-AC259</f>
        <v>-670.05200000000002</v>
      </c>
      <c r="AL259" s="21">
        <f t="shared" ref="AL259:AL261" si="292">+Y259-AD259</f>
        <v>-1330.07</v>
      </c>
      <c r="AM259" s="21">
        <f t="shared" ref="AM259:AM261" si="293">+Y259-AE259</f>
        <v>232.7</v>
      </c>
    </row>
    <row r="260" spans="1:39" s="25" customFormat="1" x14ac:dyDescent="0.2">
      <c r="A260" s="19"/>
      <c r="B260" s="19"/>
      <c r="C260" s="19"/>
      <c r="D260" s="19"/>
      <c r="E260" s="19"/>
      <c r="F260" s="19"/>
      <c r="G260" s="19" t="s">
        <v>271</v>
      </c>
      <c r="H260" s="21"/>
      <c r="I260" s="21"/>
      <c r="J260" s="21"/>
      <c r="K260" s="21"/>
      <c r="L260" s="21"/>
      <c r="M260" s="21"/>
      <c r="N260" s="21"/>
      <c r="O260" s="21"/>
      <c r="P260" s="21"/>
      <c r="Q260" s="21">
        <v>123.24</v>
      </c>
      <c r="R260" s="21"/>
      <c r="S260" s="22">
        <v>0</v>
      </c>
      <c r="T260" s="22"/>
      <c r="U260" s="22"/>
      <c r="V260" s="22"/>
      <c r="W260" s="22">
        <v>0</v>
      </c>
      <c r="X260" s="22"/>
      <c r="Y260" s="26">
        <v>150</v>
      </c>
      <c r="AA260" s="26">
        <v>0</v>
      </c>
      <c r="AC260" s="21">
        <f t="shared" si="287"/>
        <v>61.62</v>
      </c>
      <c r="AD260" s="21">
        <f>MAX(K260:S260)</f>
        <v>123.24</v>
      </c>
      <c r="AE260" s="21">
        <f>MIN(K260:S260)</f>
        <v>0</v>
      </c>
      <c r="AG260" s="21">
        <f t="shared" si="288"/>
        <v>-61.62</v>
      </c>
      <c r="AH260" s="21">
        <f t="shared" si="289"/>
        <v>-123.24</v>
      </c>
      <c r="AI260" s="21">
        <f t="shared" si="290"/>
        <v>0</v>
      </c>
      <c r="AK260" s="21">
        <f t="shared" si="291"/>
        <v>88.38</v>
      </c>
      <c r="AL260" s="21">
        <f t="shared" si="292"/>
        <v>26.760000000000005</v>
      </c>
      <c r="AM260" s="21">
        <f t="shared" si="293"/>
        <v>150</v>
      </c>
    </row>
    <row r="261" spans="1:39" s="25" customFormat="1" ht="12" thickBot="1" x14ac:dyDescent="0.25">
      <c r="A261" s="19"/>
      <c r="B261" s="19"/>
      <c r="C261" s="19"/>
      <c r="D261" s="19"/>
      <c r="E261" s="19"/>
      <c r="F261" s="19"/>
      <c r="G261" s="19" t="s">
        <v>272</v>
      </c>
      <c r="H261" s="21"/>
      <c r="I261" s="33"/>
      <c r="J261" s="21"/>
      <c r="K261" s="33"/>
      <c r="L261" s="21"/>
      <c r="M261" s="33"/>
      <c r="N261" s="21"/>
      <c r="O261" s="33">
        <v>335.98</v>
      </c>
      <c r="P261" s="33"/>
      <c r="Q261" s="33">
        <v>104</v>
      </c>
      <c r="R261" s="33"/>
      <c r="S261" s="34">
        <v>522.17999999999995</v>
      </c>
      <c r="T261" s="28"/>
      <c r="U261" s="28"/>
      <c r="V261" s="22"/>
      <c r="W261" s="34">
        <v>0</v>
      </c>
      <c r="X261" s="22"/>
      <c r="Y261" s="35">
        <v>300</v>
      </c>
      <c r="AA261" s="35">
        <v>0</v>
      </c>
      <c r="AC261" s="33">
        <f t="shared" si="287"/>
        <v>320.71999999999997</v>
      </c>
      <c r="AD261" s="33">
        <f>MAX(K261:S261)</f>
        <v>522.17999999999995</v>
      </c>
      <c r="AE261" s="33">
        <f>MIN(K261:S261)</f>
        <v>104</v>
      </c>
      <c r="AG261" s="33">
        <f t="shared" si="288"/>
        <v>-320.71999999999997</v>
      </c>
      <c r="AH261" s="33">
        <f t="shared" si="289"/>
        <v>-522.17999999999995</v>
      </c>
      <c r="AI261" s="33">
        <f t="shared" si="290"/>
        <v>-104</v>
      </c>
      <c r="AK261" s="33">
        <f t="shared" si="291"/>
        <v>-20.71999999999997</v>
      </c>
      <c r="AL261" s="33">
        <f t="shared" si="292"/>
        <v>-222.17999999999995</v>
      </c>
      <c r="AM261" s="33">
        <f t="shared" si="293"/>
        <v>196</v>
      </c>
    </row>
    <row r="262" spans="1:39" s="25" customFormat="1" x14ac:dyDescent="0.2">
      <c r="A262" s="19"/>
      <c r="B262" s="19"/>
      <c r="C262" s="19"/>
      <c r="D262" s="19"/>
      <c r="E262" s="19"/>
      <c r="F262" s="19" t="s">
        <v>273</v>
      </c>
      <c r="G262" s="19"/>
      <c r="H262" s="21"/>
      <c r="I262" s="21">
        <f>ROUND(SUM(I258:I261),5)</f>
        <v>1826</v>
      </c>
      <c r="J262" s="21"/>
      <c r="K262" s="21">
        <f>ROUND(SUM(K258:K261),5)</f>
        <v>1543</v>
      </c>
      <c r="L262" s="21"/>
      <c r="M262" s="21">
        <f>ROUND(SUM(M258:M261),5)</f>
        <v>1339</v>
      </c>
      <c r="N262" s="21"/>
      <c r="O262" s="21">
        <f>ROUND(SUM(O258:O261),5)</f>
        <v>1966.05</v>
      </c>
      <c r="P262" s="21"/>
      <c r="Q262" s="21">
        <f>ROUND(SUM(Q258:Q261),5)</f>
        <v>294.54000000000002</v>
      </c>
      <c r="R262" s="21"/>
      <c r="S262" s="22">
        <f>ROUND(SUM(S258:S261),5)</f>
        <v>793.07</v>
      </c>
      <c r="T262" s="22"/>
      <c r="U262" s="22"/>
      <c r="V262" s="22"/>
      <c r="W262" s="22">
        <f>ROUND(SUM(W258:W261),5)</f>
        <v>0</v>
      </c>
      <c r="X262" s="22"/>
      <c r="Y262" s="26">
        <f>ROUND(SUM(Y258:Y261),5)</f>
        <v>750</v>
      </c>
      <c r="AA262" s="26">
        <f>ROUND(SUM(AA258:AA261),5)</f>
        <v>0</v>
      </c>
      <c r="AC262" s="21">
        <f t="shared" ref="AC262:AE262" si="294">ROUND(SUM(AC258:AC261),5)</f>
        <v>1352.3920000000001</v>
      </c>
      <c r="AD262" s="21">
        <f t="shared" si="294"/>
        <v>2275.4899999999998</v>
      </c>
      <c r="AE262" s="21">
        <f t="shared" si="294"/>
        <v>171.3</v>
      </c>
      <c r="AG262" s="21">
        <f t="shared" ref="AG262:AI262" si="295">ROUND(SUM(AG258:AG261),5)</f>
        <v>-1352.3920000000001</v>
      </c>
      <c r="AH262" s="21">
        <f t="shared" si="295"/>
        <v>-2275.4899999999998</v>
      </c>
      <c r="AI262" s="21">
        <f t="shared" si="295"/>
        <v>-171.3</v>
      </c>
      <c r="AK262" s="21">
        <f t="shared" ref="AK262:AM262" si="296">ROUND(SUM(AK258:AK261),5)</f>
        <v>-602.39200000000005</v>
      </c>
      <c r="AL262" s="21">
        <f t="shared" si="296"/>
        <v>-1525.49</v>
      </c>
      <c r="AM262" s="21">
        <f t="shared" si="296"/>
        <v>578.70000000000005</v>
      </c>
    </row>
    <row r="263" spans="1:39" s="25" customFormat="1" x14ac:dyDescent="0.2">
      <c r="A263" s="19"/>
      <c r="B263" s="19"/>
      <c r="C263" s="19"/>
      <c r="D263" s="19"/>
      <c r="E263" s="19"/>
      <c r="F263" s="19" t="s">
        <v>274</v>
      </c>
      <c r="G263" s="19"/>
      <c r="H263" s="21"/>
      <c r="I263" s="21"/>
      <c r="J263" s="21"/>
      <c r="K263" s="21"/>
      <c r="L263" s="21"/>
      <c r="M263" s="21"/>
      <c r="N263" s="21"/>
      <c r="O263" s="21"/>
      <c r="P263" s="21"/>
      <c r="Q263" s="21"/>
      <c r="R263" s="21"/>
      <c r="S263" s="22"/>
      <c r="T263" s="22"/>
      <c r="U263" s="22"/>
      <c r="V263" s="22"/>
      <c r="W263" s="22"/>
      <c r="X263" s="22"/>
      <c r="Y263" s="26"/>
      <c r="AA263" s="26"/>
      <c r="AC263" s="21"/>
      <c r="AD263" s="21"/>
      <c r="AE263" s="21"/>
      <c r="AG263" s="21"/>
      <c r="AH263" s="21"/>
      <c r="AI263" s="21"/>
      <c r="AK263" s="21"/>
      <c r="AL263" s="21"/>
      <c r="AM263" s="21"/>
    </row>
    <row r="264" spans="1:39" s="25" customFormat="1" x14ac:dyDescent="0.2">
      <c r="A264" s="19"/>
      <c r="B264" s="19"/>
      <c r="C264" s="19"/>
      <c r="D264" s="19"/>
      <c r="E264" s="19"/>
      <c r="F264" s="19"/>
      <c r="G264" s="19" t="s">
        <v>275</v>
      </c>
      <c r="H264" s="21"/>
      <c r="I264" s="21"/>
      <c r="J264" s="21"/>
      <c r="K264" s="21"/>
      <c r="L264" s="21"/>
      <c r="M264" s="21"/>
      <c r="N264" s="21"/>
      <c r="O264" s="21"/>
      <c r="P264" s="21"/>
      <c r="Q264" s="21">
        <v>3736.38</v>
      </c>
      <c r="R264" s="21"/>
      <c r="S264" s="22">
        <v>6050.81</v>
      </c>
      <c r="T264" s="22"/>
      <c r="U264" s="22"/>
      <c r="V264" s="22"/>
      <c r="W264" s="22">
        <v>1361.46</v>
      </c>
      <c r="X264" s="22"/>
      <c r="Y264" s="26">
        <v>5000</v>
      </c>
      <c r="AA264" s="26">
        <v>2500</v>
      </c>
      <c r="AC264" s="21">
        <f t="shared" ref="AC264:AC271" si="297">AVERAGE(K264:S264)</f>
        <v>4893.5950000000003</v>
      </c>
      <c r="AD264" s="21">
        <f>MAX(K264:S264)</f>
        <v>6050.81</v>
      </c>
      <c r="AE264" s="21">
        <f>MIN(K264:S264)</f>
        <v>3736.38</v>
      </c>
      <c r="AG264" s="21">
        <f t="shared" ref="AG264:AG271" si="298">+W264-AC264</f>
        <v>-3532.1350000000002</v>
      </c>
      <c r="AH264" s="21">
        <f t="shared" ref="AH264:AH271" si="299">+W264-AD264</f>
        <v>-4689.3500000000004</v>
      </c>
      <c r="AI264" s="21">
        <f t="shared" ref="AI264:AI271" si="300">+W264-AE264</f>
        <v>-2374.92</v>
      </c>
      <c r="AK264" s="21">
        <f t="shared" ref="AK264:AK271" si="301">+Y264-AC264</f>
        <v>106.40499999999975</v>
      </c>
      <c r="AL264" s="21">
        <f t="shared" ref="AL264:AL271" si="302">+Y264-AD264</f>
        <v>-1050.8100000000004</v>
      </c>
      <c r="AM264" s="21">
        <f t="shared" ref="AM264:AM271" si="303">+Y264-AE264</f>
        <v>1263.6199999999999</v>
      </c>
    </row>
    <row r="265" spans="1:39" s="25" customFormat="1" x14ac:dyDescent="0.2">
      <c r="A265" s="19"/>
      <c r="B265" s="19"/>
      <c r="C265" s="19"/>
      <c r="D265" s="19"/>
      <c r="E265" s="19"/>
      <c r="F265" s="19"/>
      <c r="G265" s="19" t="s">
        <v>276</v>
      </c>
      <c r="H265" s="21"/>
      <c r="I265" s="21"/>
      <c r="J265" s="21"/>
      <c r="K265" s="21"/>
      <c r="L265" s="21"/>
      <c r="M265" s="21"/>
      <c r="N265" s="21"/>
      <c r="O265" s="21"/>
      <c r="P265" s="21"/>
      <c r="Q265" s="21"/>
      <c r="R265" s="21"/>
      <c r="S265" s="22">
        <v>68.58</v>
      </c>
      <c r="T265" s="22"/>
      <c r="U265" s="22"/>
      <c r="V265" s="22"/>
      <c r="W265" s="22">
        <v>137.16</v>
      </c>
      <c r="X265" s="22"/>
      <c r="Y265" s="26"/>
      <c r="AA265" s="26">
        <v>500</v>
      </c>
      <c r="AC265" s="21">
        <f t="shared" si="297"/>
        <v>68.58</v>
      </c>
      <c r="AD265" s="21"/>
      <c r="AE265" s="21"/>
      <c r="AG265" s="21"/>
      <c r="AH265" s="21"/>
      <c r="AI265" s="21"/>
      <c r="AK265" s="21"/>
      <c r="AL265" s="21"/>
      <c r="AM265" s="21"/>
    </row>
    <row r="266" spans="1:39" s="25" customFormat="1" x14ac:dyDescent="0.2">
      <c r="A266" s="19"/>
      <c r="B266" s="19"/>
      <c r="C266" s="19"/>
      <c r="D266" s="19"/>
      <c r="E266" s="19"/>
      <c r="F266" s="19"/>
      <c r="G266" s="19" t="s">
        <v>277</v>
      </c>
      <c r="H266" s="21"/>
      <c r="I266" s="21">
        <v>2631</v>
      </c>
      <c r="J266" s="21"/>
      <c r="K266" s="21">
        <v>2276</v>
      </c>
      <c r="L266" s="21"/>
      <c r="M266" s="21">
        <v>2140</v>
      </c>
      <c r="N266" s="21"/>
      <c r="O266" s="21">
        <v>1587.37</v>
      </c>
      <c r="P266" s="21"/>
      <c r="Q266" s="21">
        <v>1608.74</v>
      </c>
      <c r="R266" s="21"/>
      <c r="S266" s="22">
        <v>0</v>
      </c>
      <c r="T266" s="22"/>
      <c r="U266" s="22"/>
      <c r="V266" s="22"/>
      <c r="W266" s="22"/>
      <c r="X266" s="22"/>
      <c r="Y266" s="26">
        <v>0</v>
      </c>
      <c r="AA266" s="26"/>
      <c r="AC266" s="21">
        <f t="shared" si="297"/>
        <v>1522.422</v>
      </c>
      <c r="AD266" s="21">
        <f t="shared" ref="AD266:AD271" si="304">MAX(K266:S266)</f>
        <v>2276</v>
      </c>
      <c r="AE266" s="21">
        <f t="shared" ref="AE266:AE271" si="305">MIN(K266:S266)</f>
        <v>0</v>
      </c>
      <c r="AG266" s="21">
        <f t="shared" si="298"/>
        <v>-1522.422</v>
      </c>
      <c r="AH266" s="21">
        <f t="shared" si="299"/>
        <v>-2276</v>
      </c>
      <c r="AI266" s="21">
        <f t="shared" si="300"/>
        <v>0</v>
      </c>
      <c r="AK266" s="21">
        <f t="shared" si="301"/>
        <v>-1522.422</v>
      </c>
      <c r="AL266" s="21">
        <f t="shared" si="302"/>
        <v>-2276</v>
      </c>
      <c r="AM266" s="21">
        <f t="shared" si="303"/>
        <v>0</v>
      </c>
    </row>
    <row r="267" spans="1:39" s="25" customFormat="1" x14ac:dyDescent="0.2">
      <c r="A267" s="19"/>
      <c r="B267" s="19"/>
      <c r="C267" s="19"/>
      <c r="D267" s="19"/>
      <c r="E267" s="19"/>
      <c r="F267" s="19"/>
      <c r="G267" s="19" t="s">
        <v>278</v>
      </c>
      <c r="H267" s="21"/>
      <c r="I267" s="21"/>
      <c r="J267" s="21"/>
      <c r="K267" s="21"/>
      <c r="L267" s="21"/>
      <c r="M267" s="21"/>
      <c r="N267" s="21"/>
      <c r="O267" s="21"/>
      <c r="P267" s="21"/>
      <c r="Q267" s="21">
        <v>45</v>
      </c>
      <c r="R267" s="21"/>
      <c r="S267" s="22">
        <v>0</v>
      </c>
      <c r="T267" s="22"/>
      <c r="U267" s="22"/>
      <c r="V267" s="22"/>
      <c r="W267" s="22">
        <v>0</v>
      </c>
      <c r="X267" s="22"/>
      <c r="Y267" s="26">
        <v>50</v>
      </c>
      <c r="AA267" s="26"/>
      <c r="AC267" s="21">
        <f t="shared" si="297"/>
        <v>22.5</v>
      </c>
      <c r="AD267" s="21">
        <f t="shared" si="304"/>
        <v>45</v>
      </c>
      <c r="AE267" s="21">
        <f t="shared" si="305"/>
        <v>0</v>
      </c>
      <c r="AG267" s="21">
        <f t="shared" si="298"/>
        <v>-22.5</v>
      </c>
      <c r="AH267" s="21">
        <f t="shared" si="299"/>
        <v>-45</v>
      </c>
      <c r="AI267" s="21">
        <f t="shared" si="300"/>
        <v>0</v>
      </c>
      <c r="AK267" s="21">
        <f t="shared" si="301"/>
        <v>27.5</v>
      </c>
      <c r="AL267" s="21">
        <f t="shared" si="302"/>
        <v>5</v>
      </c>
      <c r="AM267" s="21">
        <f t="shared" si="303"/>
        <v>50</v>
      </c>
    </row>
    <row r="268" spans="1:39" s="25" customFormat="1" x14ac:dyDescent="0.2">
      <c r="A268" s="19"/>
      <c r="B268" s="19"/>
      <c r="C268" s="19"/>
      <c r="D268" s="19"/>
      <c r="E268" s="19"/>
      <c r="F268" s="19"/>
      <c r="G268" s="19" t="s">
        <v>279</v>
      </c>
      <c r="H268" s="21"/>
      <c r="I268" s="21"/>
      <c r="J268" s="21"/>
      <c r="K268" s="21"/>
      <c r="L268" s="21"/>
      <c r="M268" s="21"/>
      <c r="N268" s="21"/>
      <c r="O268" s="21"/>
      <c r="P268" s="21"/>
      <c r="Q268" s="21">
        <v>2084.61</v>
      </c>
      <c r="R268" s="21"/>
      <c r="S268" s="22">
        <v>3888.73</v>
      </c>
      <c r="T268" s="22"/>
      <c r="U268" s="22"/>
      <c r="V268" s="22"/>
      <c r="W268" s="22">
        <v>0</v>
      </c>
      <c r="X268" s="22"/>
      <c r="Y268" s="26">
        <v>3500</v>
      </c>
      <c r="AA268" s="26">
        <v>1000</v>
      </c>
      <c r="AC268" s="21">
        <f t="shared" si="297"/>
        <v>2986.67</v>
      </c>
      <c r="AD268" s="21">
        <f t="shared" si="304"/>
        <v>3888.73</v>
      </c>
      <c r="AE268" s="21">
        <f t="shared" si="305"/>
        <v>2084.61</v>
      </c>
      <c r="AG268" s="21">
        <f t="shared" si="298"/>
        <v>-2986.67</v>
      </c>
      <c r="AH268" s="21">
        <f t="shared" si="299"/>
        <v>-3888.73</v>
      </c>
      <c r="AI268" s="21">
        <f t="shared" si="300"/>
        <v>-2084.61</v>
      </c>
      <c r="AK268" s="21">
        <f t="shared" si="301"/>
        <v>513.32999999999993</v>
      </c>
      <c r="AL268" s="21">
        <f t="shared" si="302"/>
        <v>-388.73</v>
      </c>
      <c r="AM268" s="21">
        <f t="shared" si="303"/>
        <v>1415.3899999999999</v>
      </c>
    </row>
    <row r="269" spans="1:39" s="25" customFormat="1" x14ac:dyDescent="0.2">
      <c r="A269" s="19"/>
      <c r="B269" s="19"/>
      <c r="C269" s="19"/>
      <c r="D269" s="19"/>
      <c r="E269" s="19"/>
      <c r="F269" s="19"/>
      <c r="G269" s="19" t="s">
        <v>280</v>
      </c>
      <c r="H269" s="21"/>
      <c r="I269" s="21">
        <v>1164</v>
      </c>
      <c r="J269" s="21"/>
      <c r="K269" s="21">
        <v>1263</v>
      </c>
      <c r="L269" s="21"/>
      <c r="M269" s="21">
        <v>1717</v>
      </c>
      <c r="N269" s="21"/>
      <c r="O269" s="21">
        <v>7109.5</v>
      </c>
      <c r="P269" s="21"/>
      <c r="Q269" s="21">
        <v>8086.47</v>
      </c>
      <c r="R269" s="21"/>
      <c r="S269" s="22">
        <v>6378.71</v>
      </c>
      <c r="T269" s="22"/>
      <c r="U269" s="22"/>
      <c r="V269" s="22"/>
      <c r="W269" s="22">
        <v>5300.19</v>
      </c>
      <c r="X269" s="22"/>
      <c r="Y269" s="26">
        <v>5000</v>
      </c>
      <c r="AA269" s="26">
        <v>5000</v>
      </c>
      <c r="AC269" s="21">
        <f t="shared" si="297"/>
        <v>4910.9359999999997</v>
      </c>
      <c r="AD269" s="21">
        <f t="shared" si="304"/>
        <v>8086.47</v>
      </c>
      <c r="AE269" s="21">
        <f t="shared" si="305"/>
        <v>1263</v>
      </c>
      <c r="AG269" s="21">
        <f t="shared" si="298"/>
        <v>389.25399999999991</v>
      </c>
      <c r="AH269" s="21">
        <f t="shared" si="299"/>
        <v>-2786.2800000000007</v>
      </c>
      <c r="AI269" s="21">
        <f t="shared" si="300"/>
        <v>4037.1899999999996</v>
      </c>
      <c r="AK269" s="21">
        <f t="shared" si="301"/>
        <v>89.064000000000306</v>
      </c>
      <c r="AL269" s="21">
        <f t="shared" si="302"/>
        <v>-3086.4700000000003</v>
      </c>
      <c r="AM269" s="21">
        <f t="shared" si="303"/>
        <v>3737</v>
      </c>
    </row>
    <row r="270" spans="1:39" s="25" customFormat="1" x14ac:dyDescent="0.2">
      <c r="A270" s="19"/>
      <c r="B270" s="19"/>
      <c r="C270" s="19"/>
      <c r="D270" s="19"/>
      <c r="E270" s="19"/>
      <c r="F270" s="19"/>
      <c r="G270" s="19" t="s">
        <v>281</v>
      </c>
      <c r="H270" s="21"/>
      <c r="I270" s="21">
        <v>760</v>
      </c>
      <c r="J270" s="21"/>
      <c r="K270" s="21">
        <v>1085</v>
      </c>
      <c r="L270" s="21"/>
      <c r="M270" s="21">
        <v>95</v>
      </c>
      <c r="N270" s="21"/>
      <c r="O270" s="21">
        <v>15352.44</v>
      </c>
      <c r="P270" s="21"/>
      <c r="Q270" s="21">
        <v>1743.31</v>
      </c>
      <c r="R270" s="21"/>
      <c r="S270" s="22">
        <v>3029.22</v>
      </c>
      <c r="T270" s="22"/>
      <c r="U270" s="22"/>
      <c r="V270" s="22"/>
      <c r="W270" s="22">
        <v>2323.15</v>
      </c>
      <c r="X270" s="22"/>
      <c r="Y270" s="26">
        <v>1500</v>
      </c>
      <c r="AA270" s="26">
        <v>1500</v>
      </c>
      <c r="AC270" s="22">
        <f t="shared" si="297"/>
        <v>4260.9940000000006</v>
      </c>
      <c r="AD270" s="22">
        <f t="shared" si="304"/>
        <v>15352.44</v>
      </c>
      <c r="AE270" s="22">
        <f t="shared" si="305"/>
        <v>95</v>
      </c>
      <c r="AG270" s="22">
        <f t="shared" si="298"/>
        <v>-1937.8440000000005</v>
      </c>
      <c r="AH270" s="22">
        <f t="shared" si="299"/>
        <v>-13029.29</v>
      </c>
      <c r="AI270" s="22">
        <f t="shared" si="300"/>
        <v>2228.15</v>
      </c>
      <c r="AK270" s="21">
        <f t="shared" si="301"/>
        <v>-2760.9940000000006</v>
      </c>
      <c r="AL270" s="21">
        <f t="shared" si="302"/>
        <v>-13852.44</v>
      </c>
      <c r="AM270" s="21">
        <f t="shared" si="303"/>
        <v>1405</v>
      </c>
    </row>
    <row r="271" spans="1:39" s="25" customFormat="1" ht="12" thickBot="1" x14ac:dyDescent="0.25">
      <c r="A271" s="19"/>
      <c r="B271" s="19"/>
      <c r="C271" s="19"/>
      <c r="D271" s="19"/>
      <c r="E271" s="19"/>
      <c r="F271" s="19"/>
      <c r="G271" s="19" t="s">
        <v>282</v>
      </c>
      <c r="H271" s="21"/>
      <c r="I271" s="27"/>
      <c r="J271" s="21"/>
      <c r="K271" s="27"/>
      <c r="L271" s="21"/>
      <c r="M271" s="27"/>
      <c r="N271" s="21"/>
      <c r="O271" s="27"/>
      <c r="P271" s="27"/>
      <c r="Q271" s="21">
        <v>1989.83</v>
      </c>
      <c r="R271" s="21"/>
      <c r="S271" s="22">
        <v>578.9</v>
      </c>
      <c r="T271" s="28"/>
      <c r="U271" s="28"/>
      <c r="V271" s="22"/>
      <c r="W271" s="22">
        <v>130</v>
      </c>
      <c r="X271" s="22"/>
      <c r="Y271" s="29">
        <v>600</v>
      </c>
      <c r="AA271" s="29">
        <v>1000</v>
      </c>
      <c r="AC271" s="28">
        <f t="shared" si="297"/>
        <v>1284.365</v>
      </c>
      <c r="AD271" s="28">
        <f t="shared" si="304"/>
        <v>1989.83</v>
      </c>
      <c r="AE271" s="28">
        <f t="shared" si="305"/>
        <v>578.9</v>
      </c>
      <c r="AG271" s="28">
        <f t="shared" si="298"/>
        <v>-1154.365</v>
      </c>
      <c r="AH271" s="28">
        <f t="shared" si="299"/>
        <v>-1859.83</v>
      </c>
      <c r="AI271" s="28">
        <f t="shared" si="300"/>
        <v>-448.9</v>
      </c>
      <c r="AK271" s="27">
        <f t="shared" si="301"/>
        <v>-684.36500000000001</v>
      </c>
      <c r="AL271" s="27">
        <f t="shared" si="302"/>
        <v>-1389.83</v>
      </c>
      <c r="AM271" s="27">
        <f t="shared" si="303"/>
        <v>21.100000000000023</v>
      </c>
    </row>
    <row r="272" spans="1:39" s="25" customFormat="1" ht="12" thickBot="1" x14ac:dyDescent="0.25">
      <c r="A272" s="19"/>
      <c r="B272" s="19"/>
      <c r="C272" s="19"/>
      <c r="D272" s="19"/>
      <c r="E272" s="19"/>
      <c r="F272" s="19" t="s">
        <v>283</v>
      </c>
      <c r="G272" s="19"/>
      <c r="H272" s="21"/>
      <c r="I272" s="30">
        <f>ROUND(SUM(I263:I271),5)</f>
        <v>4555</v>
      </c>
      <c r="J272" s="21"/>
      <c r="K272" s="30">
        <f>ROUND(SUM(K263:K271),5)</f>
        <v>4624</v>
      </c>
      <c r="L272" s="21"/>
      <c r="M272" s="30">
        <f>ROUND(SUM(M263:M271),5)</f>
        <v>3952</v>
      </c>
      <c r="N272" s="21"/>
      <c r="O272" s="30">
        <f>ROUND(SUM(O263:O271),5)</f>
        <v>24049.31</v>
      </c>
      <c r="P272" s="30"/>
      <c r="Q272" s="30">
        <f>ROUND(SUM(Q263:Q271),5)</f>
        <v>19294.34</v>
      </c>
      <c r="R272" s="30"/>
      <c r="S272" s="31">
        <f>ROUND(SUM(S263:S271),5)</f>
        <v>19994.95</v>
      </c>
      <c r="T272" s="28"/>
      <c r="U272" s="28"/>
      <c r="V272" s="22"/>
      <c r="W272" s="31">
        <f>ROUND(SUM(W263:W271),5)</f>
        <v>9251.9599999999991</v>
      </c>
      <c r="X272" s="22"/>
      <c r="Y272" s="32">
        <f>ROUND(SUM(Y263:Y271),5)</f>
        <v>15650</v>
      </c>
      <c r="AA272" s="32">
        <f>ROUND(SUM(AA263:AA271),5)</f>
        <v>11500</v>
      </c>
      <c r="AC272" s="44">
        <f>ROUND(SUM(AC263:AC271),5)</f>
        <v>19950.062000000002</v>
      </c>
      <c r="AD272" s="44">
        <f>ROUND(SUM(AD263:AD271),5)</f>
        <v>37689.279999999999</v>
      </c>
      <c r="AE272" s="44">
        <f>ROUND(SUM(AE263:AE271),5)</f>
        <v>7757.89</v>
      </c>
      <c r="AG272" s="44">
        <f>ROUND(SUM(AG263:AG271),5)</f>
        <v>-10766.682000000001</v>
      </c>
      <c r="AH272" s="44">
        <f>ROUND(SUM(AH263:AH271),5)</f>
        <v>-28574.48</v>
      </c>
      <c r="AI272" s="44">
        <f>ROUND(SUM(AI263:AI271),5)</f>
        <v>1356.91</v>
      </c>
      <c r="AK272" s="30">
        <f>ROUND(SUM(AK263:AK271),5)</f>
        <v>-4231.482</v>
      </c>
      <c r="AL272" s="30">
        <f>ROUND(SUM(AL263:AL271),5)</f>
        <v>-22039.279999999999</v>
      </c>
      <c r="AM272" s="30">
        <f>ROUND(SUM(AM263:AM271),5)</f>
        <v>7892.11</v>
      </c>
    </row>
    <row r="273" spans="1:39" s="25" customFormat="1" x14ac:dyDescent="0.2">
      <c r="A273" s="19"/>
      <c r="B273" s="19"/>
      <c r="C273" s="19"/>
      <c r="D273" s="19"/>
      <c r="E273" s="40" t="s">
        <v>284</v>
      </c>
      <c r="F273" s="19"/>
      <c r="G273" s="19"/>
      <c r="H273" s="21"/>
      <c r="I273" s="21">
        <f>ROUND(I237+I245+I251+I257+I262+I272,5)</f>
        <v>72690</v>
      </c>
      <c r="J273" s="21"/>
      <c r="K273" s="21">
        <f>ROUND(K237+K245+K251+K257+K262+K272,5)</f>
        <v>73788</v>
      </c>
      <c r="L273" s="21"/>
      <c r="M273" s="21">
        <f>ROUND(M237+M245+M251+M257+M262+M272,5)</f>
        <v>76733</v>
      </c>
      <c r="N273" s="21"/>
      <c r="O273" s="21">
        <f>ROUND(O237+O245+O251+O257+O262+O272,5)</f>
        <v>290172.84000000003</v>
      </c>
      <c r="P273" s="21"/>
      <c r="Q273" s="21">
        <f>ROUND(Q237+Q245+Q251+Q257+Q262+Q272,5)</f>
        <v>240966.26</v>
      </c>
      <c r="R273" s="21"/>
      <c r="S273" s="22">
        <f>ROUND(S237+S245+S251+S257+S262+S272,5)</f>
        <v>228580.85</v>
      </c>
      <c r="T273" s="22"/>
      <c r="U273" s="22"/>
      <c r="V273" s="22"/>
      <c r="W273" s="22">
        <f>ROUND(W237+W245+W251+W257+W262+W272,5)</f>
        <v>112769.45</v>
      </c>
      <c r="X273" s="22"/>
      <c r="Y273" s="26">
        <f>ROUND(Y237+Y245+Y251+Y257+Y262+Y272,5)</f>
        <v>245635</v>
      </c>
      <c r="AA273" s="26">
        <f>ROUND(AA237+AA245+AA251+AA257+AA262+AA272,5)</f>
        <v>240458.49239999999</v>
      </c>
      <c r="AC273" s="45">
        <f>ROUND(AC237+AC245+AC251+AC257+AC262+AC272,5)</f>
        <v>239544.12299999999</v>
      </c>
      <c r="AD273" s="45">
        <f>ROUND(AD237+AD245+AD251+AD257+AD262+AD272,5)</f>
        <v>413603.05</v>
      </c>
      <c r="AE273" s="45">
        <f>ROUND(AE237+AE245+AE251+AE257+AE262+AE272,5)</f>
        <v>143077.14000000001</v>
      </c>
      <c r="AG273" s="45">
        <f>ROUND(AG237+AG245+AG251+AG257+AG262+AG272,5)</f>
        <v>-126843.253</v>
      </c>
      <c r="AH273" s="45">
        <f>ROUND(AH237+AH245+AH251+AH257+AH262+AH272,5)</f>
        <v>-300970.76</v>
      </c>
      <c r="AI273" s="45">
        <f>ROUND(AI237+AI245+AI251+AI257+AI262+AI272,5)</f>
        <v>-30444.85</v>
      </c>
      <c r="AK273" s="21">
        <f>ROUND(AK237+AK245+AK251+AK257+AK262+AK272,5)</f>
        <v>6147.4570000000003</v>
      </c>
      <c r="AL273" s="21">
        <f>ROUND(AL237+AL245+AL251+AL257+AL262+AL272,5)</f>
        <v>-168168.05</v>
      </c>
      <c r="AM273" s="21">
        <f>ROUND(AM237+AM245+AM251+AM257+AM262+AM272,5)</f>
        <v>102357.86</v>
      </c>
    </row>
    <row r="274" spans="1:39" s="25" customFormat="1" x14ac:dyDescent="0.2">
      <c r="A274" s="19"/>
      <c r="B274" s="19"/>
      <c r="C274" s="19"/>
      <c r="D274" s="19"/>
      <c r="E274" s="19"/>
      <c r="F274" s="19"/>
      <c r="G274" s="19"/>
      <c r="H274" s="21"/>
      <c r="I274" s="21"/>
      <c r="J274" s="21"/>
      <c r="K274" s="21"/>
      <c r="L274" s="21"/>
      <c r="M274" s="21"/>
      <c r="N274" s="21"/>
      <c r="O274" s="21"/>
      <c r="P274" s="21"/>
      <c r="Q274" s="21"/>
      <c r="R274" s="21"/>
      <c r="S274" s="22"/>
      <c r="T274" s="22"/>
      <c r="U274" s="22"/>
      <c r="V274" s="22"/>
      <c r="W274" s="22"/>
      <c r="X274" s="22"/>
      <c r="Y274" s="26"/>
      <c r="AA274" s="26"/>
      <c r="AC274" s="21"/>
      <c r="AD274" s="21"/>
      <c r="AE274" s="21"/>
      <c r="AG274" s="21"/>
      <c r="AH274" s="21"/>
      <c r="AI274" s="21"/>
      <c r="AK274" s="21"/>
      <c r="AL274" s="21"/>
      <c r="AM274" s="21"/>
    </row>
    <row r="275" spans="1:39" s="25" customFormat="1" x14ac:dyDescent="0.2">
      <c r="A275" s="19"/>
      <c r="B275" s="19"/>
      <c r="C275" s="19"/>
      <c r="D275" s="19"/>
      <c r="E275" s="40" t="s">
        <v>285</v>
      </c>
      <c r="F275" s="19"/>
      <c r="G275" s="19"/>
      <c r="H275" s="21"/>
      <c r="I275" s="21"/>
      <c r="J275" s="21"/>
      <c r="K275" s="21"/>
      <c r="L275" s="21"/>
      <c r="M275" s="21"/>
      <c r="N275" s="21"/>
      <c r="O275" s="21"/>
      <c r="P275" s="21"/>
      <c r="Q275" s="21"/>
      <c r="R275" s="21"/>
      <c r="S275" s="22"/>
      <c r="T275" s="22"/>
      <c r="U275" s="22"/>
      <c r="V275" s="22"/>
      <c r="W275" s="22"/>
      <c r="X275" s="22"/>
      <c r="Y275" s="26"/>
      <c r="AA275" s="26"/>
      <c r="AC275" s="21"/>
      <c r="AD275" s="21"/>
      <c r="AE275" s="21"/>
      <c r="AG275" s="21"/>
      <c r="AH275" s="21"/>
      <c r="AI275" s="21"/>
      <c r="AK275" s="21"/>
      <c r="AL275" s="21"/>
      <c r="AM275" s="21"/>
    </row>
    <row r="276" spans="1:39" s="25" customFormat="1" x14ac:dyDescent="0.2">
      <c r="A276" s="19"/>
      <c r="B276" s="19"/>
      <c r="C276" s="19"/>
      <c r="D276" s="19"/>
      <c r="E276" s="19"/>
      <c r="F276" s="19" t="s">
        <v>286</v>
      </c>
      <c r="G276" s="19"/>
      <c r="H276" s="21"/>
      <c r="I276" s="21"/>
      <c r="J276" s="21"/>
      <c r="K276" s="21"/>
      <c r="L276" s="21"/>
      <c r="M276" s="21"/>
      <c r="N276" s="21"/>
      <c r="O276" s="21"/>
      <c r="P276" s="21"/>
      <c r="Q276" s="21"/>
      <c r="R276" s="21"/>
      <c r="S276" s="22"/>
      <c r="T276" s="22"/>
      <c r="U276" s="22"/>
      <c r="V276" s="22"/>
      <c r="W276" s="22"/>
      <c r="X276" s="22"/>
      <c r="Y276" s="26"/>
      <c r="AA276" s="26"/>
      <c r="AC276" s="21"/>
      <c r="AD276" s="21"/>
      <c r="AE276" s="21"/>
      <c r="AG276" s="21"/>
      <c r="AH276" s="21"/>
      <c r="AI276" s="21"/>
      <c r="AK276" s="21"/>
      <c r="AL276" s="21"/>
      <c r="AM276" s="21"/>
    </row>
    <row r="277" spans="1:39" s="25" customFormat="1" x14ac:dyDescent="0.2">
      <c r="A277" s="19"/>
      <c r="B277" s="19"/>
      <c r="C277" s="19"/>
      <c r="D277" s="19"/>
      <c r="E277" s="19"/>
      <c r="F277" s="19"/>
      <c r="G277" s="19" t="s">
        <v>287</v>
      </c>
      <c r="H277" s="21"/>
      <c r="I277" s="21"/>
      <c r="J277" s="21"/>
      <c r="K277" s="21"/>
      <c r="L277" s="21"/>
      <c r="M277" s="21"/>
      <c r="N277" s="21"/>
      <c r="O277" s="21"/>
      <c r="P277" s="21"/>
      <c r="Q277" s="21">
        <v>55877.64</v>
      </c>
      <c r="R277" s="21"/>
      <c r="S277" s="22">
        <v>49628.800000000003</v>
      </c>
      <c r="T277" s="22"/>
      <c r="U277" s="22"/>
      <c r="V277" s="22"/>
      <c r="W277" s="22">
        <v>29637.26</v>
      </c>
      <c r="X277" s="22"/>
      <c r="Y277" s="26">
        <v>51371</v>
      </c>
      <c r="AA277" s="26">
        <v>53426</v>
      </c>
      <c r="AB277" s="5"/>
      <c r="AC277" s="22">
        <f t="shared" ref="AC277:AC281" si="306">AVERAGE(K277:S277)</f>
        <v>52753.22</v>
      </c>
      <c r="AD277" s="22">
        <f>MAX(K277:S277)</f>
        <v>55877.64</v>
      </c>
      <c r="AE277" s="22">
        <f>MIN(K277:S277)</f>
        <v>49628.800000000003</v>
      </c>
      <c r="AG277" s="22">
        <f t="shared" ref="AG277:AG281" si="307">+W277-AC277</f>
        <v>-23115.960000000003</v>
      </c>
      <c r="AH277" s="22">
        <f t="shared" ref="AH277:AH281" si="308">+W277-AD277</f>
        <v>-26240.38</v>
      </c>
      <c r="AI277" s="22">
        <f t="shared" ref="AI277:AI281" si="309">+W277-AE277</f>
        <v>-19991.540000000005</v>
      </c>
      <c r="AK277" s="21">
        <f t="shared" ref="AK277:AK281" si="310">+Y277-AC277</f>
        <v>-1382.2200000000012</v>
      </c>
      <c r="AL277" s="21">
        <f t="shared" ref="AL277:AL281" si="311">+Y277-AD277</f>
        <v>-4506.6399999999994</v>
      </c>
      <c r="AM277" s="21">
        <f t="shared" ref="AM277:AM281" si="312">+Y277-AE277</f>
        <v>1742.1999999999971</v>
      </c>
    </row>
    <row r="278" spans="1:39" s="25" customFormat="1" x14ac:dyDescent="0.2">
      <c r="A278" s="19"/>
      <c r="B278" s="19"/>
      <c r="C278" s="19"/>
      <c r="D278" s="19"/>
      <c r="E278" s="19"/>
      <c r="F278" s="19"/>
      <c r="G278" s="19" t="s">
        <v>288</v>
      </c>
      <c r="H278" s="21"/>
      <c r="I278" s="21"/>
      <c r="J278" s="21"/>
      <c r="K278" s="21"/>
      <c r="L278" s="21"/>
      <c r="M278" s="21"/>
      <c r="N278" s="21"/>
      <c r="O278" s="21"/>
      <c r="P278" s="21"/>
      <c r="Q278" s="21">
        <v>4593.97</v>
      </c>
      <c r="R278" s="21"/>
      <c r="S278" s="22">
        <v>4191.22</v>
      </c>
      <c r="T278" s="22"/>
      <c r="U278" s="22"/>
      <c r="V278" s="22"/>
      <c r="W278" s="22">
        <v>2411.0300000000002</v>
      </c>
      <c r="X278" s="22"/>
      <c r="Y278" s="26">
        <v>3930</v>
      </c>
      <c r="AA278" s="26">
        <f>+AA277*0.0765</f>
        <v>4087.0889999999999</v>
      </c>
      <c r="AB278" s="5"/>
      <c r="AC278" s="22">
        <f t="shared" si="306"/>
        <v>4392.5950000000003</v>
      </c>
      <c r="AD278" s="22">
        <f>MAX(K278:S278)</f>
        <v>4593.97</v>
      </c>
      <c r="AE278" s="22">
        <f>MIN(K278:S278)</f>
        <v>4191.22</v>
      </c>
      <c r="AG278" s="22">
        <f t="shared" si="307"/>
        <v>-1981.5650000000001</v>
      </c>
      <c r="AH278" s="22">
        <f t="shared" si="308"/>
        <v>-2182.94</v>
      </c>
      <c r="AI278" s="22">
        <f t="shared" si="309"/>
        <v>-1780.19</v>
      </c>
      <c r="AK278" s="21">
        <f t="shared" si="310"/>
        <v>-462.59500000000025</v>
      </c>
      <c r="AL278" s="21">
        <f t="shared" si="311"/>
        <v>-663.97000000000025</v>
      </c>
      <c r="AM278" s="21">
        <f t="shared" si="312"/>
        <v>-261.22000000000025</v>
      </c>
    </row>
    <row r="279" spans="1:39" s="36" customFormat="1" x14ac:dyDescent="0.2">
      <c r="A279" s="19"/>
      <c r="B279" s="19"/>
      <c r="C279" s="19"/>
      <c r="D279" s="19"/>
      <c r="E279" s="19"/>
      <c r="F279" s="19"/>
      <c r="G279" s="19" t="s">
        <v>289</v>
      </c>
      <c r="H279" s="27"/>
      <c r="I279" s="27"/>
      <c r="J279" s="27"/>
      <c r="K279" s="27"/>
      <c r="L279" s="27"/>
      <c r="M279" s="27"/>
      <c r="N279" s="27"/>
      <c r="O279" s="27"/>
      <c r="P279" s="27"/>
      <c r="Q279" s="21">
        <v>12222.55</v>
      </c>
      <c r="R279" s="21"/>
      <c r="S279" s="22">
        <v>7106.55</v>
      </c>
      <c r="T279" s="28"/>
      <c r="U279" s="28"/>
      <c r="V279" s="28"/>
      <c r="W279" s="22">
        <v>5946.74</v>
      </c>
      <c r="X279" s="28"/>
      <c r="Y279" s="29">
        <v>10215</v>
      </c>
      <c r="AA279" s="29">
        <v>10385</v>
      </c>
      <c r="AB279" s="43"/>
      <c r="AC279" s="28">
        <f t="shared" si="306"/>
        <v>9664.5499999999993</v>
      </c>
      <c r="AD279" s="28">
        <f>MAX(K279:S279)</f>
        <v>12222.55</v>
      </c>
      <c r="AE279" s="28">
        <f>MIN(K279:S279)</f>
        <v>7106.55</v>
      </c>
      <c r="AF279" s="25"/>
      <c r="AG279" s="28">
        <f t="shared" si="307"/>
        <v>-3717.8099999999995</v>
      </c>
      <c r="AH279" s="28">
        <f t="shared" si="308"/>
        <v>-6275.8099999999995</v>
      </c>
      <c r="AI279" s="28">
        <f t="shared" si="309"/>
        <v>-1159.8100000000004</v>
      </c>
      <c r="AJ279" s="25"/>
      <c r="AK279" s="27">
        <f t="shared" si="310"/>
        <v>550.45000000000073</v>
      </c>
      <c r="AL279" s="27">
        <f t="shared" si="311"/>
        <v>-2007.5499999999993</v>
      </c>
      <c r="AM279" s="27">
        <f t="shared" si="312"/>
        <v>3108.45</v>
      </c>
    </row>
    <row r="280" spans="1:39" s="36" customFormat="1" x14ac:dyDescent="0.2">
      <c r="A280" s="19"/>
      <c r="B280" s="19"/>
      <c r="C280" s="19"/>
      <c r="D280" s="19"/>
      <c r="E280" s="19"/>
      <c r="F280" s="19"/>
      <c r="G280" s="19" t="s">
        <v>290</v>
      </c>
      <c r="H280" s="27"/>
      <c r="I280" s="27"/>
      <c r="J280" s="27"/>
      <c r="K280" s="27"/>
      <c r="L280" s="27"/>
      <c r="M280" s="27"/>
      <c r="N280" s="27"/>
      <c r="O280" s="27"/>
      <c r="P280" s="27"/>
      <c r="Q280" s="21"/>
      <c r="R280" s="21"/>
      <c r="S280" s="28">
        <v>0</v>
      </c>
      <c r="T280" s="28"/>
      <c r="U280" s="28"/>
      <c r="V280" s="28"/>
      <c r="W280" s="28">
        <v>829.78</v>
      </c>
      <c r="X280" s="28"/>
      <c r="Y280" s="29">
        <v>1541</v>
      </c>
      <c r="AA280" s="29">
        <v>1603</v>
      </c>
      <c r="AB280" s="43"/>
      <c r="AC280" s="28">
        <f t="shared" si="306"/>
        <v>0</v>
      </c>
      <c r="AD280" s="28"/>
      <c r="AE280" s="28"/>
      <c r="AF280" s="25"/>
      <c r="AG280" s="28"/>
      <c r="AH280" s="28"/>
      <c r="AI280" s="28"/>
      <c r="AJ280" s="25"/>
      <c r="AK280" s="27"/>
      <c r="AL280" s="27"/>
      <c r="AM280" s="27"/>
    </row>
    <row r="281" spans="1:39" s="25" customFormat="1" ht="12" thickBot="1" x14ac:dyDescent="0.25">
      <c r="A281" s="19"/>
      <c r="B281" s="19"/>
      <c r="C281" s="19"/>
      <c r="D281" s="19"/>
      <c r="E281" s="19"/>
      <c r="F281" s="19"/>
      <c r="G281" s="19" t="s">
        <v>291</v>
      </c>
      <c r="H281" s="21"/>
      <c r="I281" s="33"/>
      <c r="J281" s="21"/>
      <c r="K281" s="33"/>
      <c r="L281" s="21"/>
      <c r="M281" s="33"/>
      <c r="N281" s="21"/>
      <c r="O281" s="33"/>
      <c r="P281" s="33"/>
      <c r="Q281" s="33">
        <v>0</v>
      </c>
      <c r="R281" s="33"/>
      <c r="S281" s="35">
        <v>449.18</v>
      </c>
      <c r="T281" s="28"/>
      <c r="U281" s="28"/>
      <c r="V281" s="22"/>
      <c r="W281" s="35">
        <v>160.33000000000001</v>
      </c>
      <c r="X281" s="22"/>
      <c r="Y281" s="35">
        <v>406</v>
      </c>
      <c r="AA281" s="35">
        <f>+AA277*0.79/100</f>
        <v>422.06540000000001</v>
      </c>
      <c r="AB281" s="5"/>
      <c r="AC281" s="35">
        <f t="shared" si="306"/>
        <v>224.59</v>
      </c>
      <c r="AD281" s="35">
        <f>MAX(K281:S281)</f>
        <v>449.18</v>
      </c>
      <c r="AE281" s="35">
        <f>MIN(K281:S281)</f>
        <v>0</v>
      </c>
      <c r="AG281" s="35">
        <f t="shared" si="307"/>
        <v>-64.259999999999991</v>
      </c>
      <c r="AH281" s="35">
        <f t="shared" si="308"/>
        <v>-288.85000000000002</v>
      </c>
      <c r="AI281" s="35">
        <f t="shared" si="309"/>
        <v>160.33000000000001</v>
      </c>
      <c r="AK281" s="33">
        <f t="shared" si="310"/>
        <v>181.41</v>
      </c>
      <c r="AL281" s="33">
        <f t="shared" si="311"/>
        <v>-43.180000000000007</v>
      </c>
      <c r="AM281" s="33">
        <f t="shared" si="312"/>
        <v>406</v>
      </c>
    </row>
    <row r="282" spans="1:39" s="25" customFormat="1" x14ac:dyDescent="0.2">
      <c r="A282" s="19"/>
      <c r="B282" s="19"/>
      <c r="C282" s="19"/>
      <c r="D282" s="19"/>
      <c r="E282" s="19"/>
      <c r="F282" s="19" t="s">
        <v>292</v>
      </c>
      <c r="G282" s="19"/>
      <c r="H282" s="21"/>
      <c r="I282" s="21">
        <f>ROUND(SUM(I276:I281),5)</f>
        <v>0</v>
      </c>
      <c r="J282" s="21"/>
      <c r="K282" s="21">
        <f>ROUND(SUM(K276:K281),5)</f>
        <v>0</v>
      </c>
      <c r="L282" s="21"/>
      <c r="M282" s="21">
        <f>ROUND(SUM(M276:M281),5)</f>
        <v>0</v>
      </c>
      <c r="N282" s="21"/>
      <c r="O282" s="21">
        <f>ROUND(SUM(O276:O281),5)</f>
        <v>0</v>
      </c>
      <c r="P282" s="21"/>
      <c r="Q282" s="21">
        <f>ROUND(SUM(Q276:Q281),5)</f>
        <v>72694.16</v>
      </c>
      <c r="R282" s="21"/>
      <c r="S282" s="22">
        <f>ROUND(SUM(S276:S281),5)</f>
        <v>61375.75</v>
      </c>
      <c r="T282" s="22"/>
      <c r="U282" s="22"/>
      <c r="V282" s="22"/>
      <c r="W282" s="22">
        <f>ROUND(SUM(W276:W281),5)</f>
        <v>38985.14</v>
      </c>
      <c r="X282" s="22"/>
      <c r="Y282" s="26">
        <f>ROUND(SUM(Y276:Y281),5)</f>
        <v>67463</v>
      </c>
      <c r="AA282" s="26">
        <f>ROUND(SUM(AA276:AA281),5)</f>
        <v>69923.154399999999</v>
      </c>
      <c r="AB282" s="5"/>
      <c r="AC282" s="46">
        <f>ROUND(SUM(AC276:AC281),5)</f>
        <v>67034.955000000002</v>
      </c>
      <c r="AD282" s="46">
        <f>ROUND(SUM(AD276:AD281),5)</f>
        <v>73143.34</v>
      </c>
      <c r="AE282" s="46">
        <f>ROUND(SUM(AE276:AE281),5)</f>
        <v>60926.57</v>
      </c>
      <c r="AG282" s="46">
        <f>ROUND(SUM(AG276:AG281),5)</f>
        <v>-28879.595000000001</v>
      </c>
      <c r="AH282" s="46">
        <f>ROUND(SUM(AH276:AH281),5)</f>
        <v>-34987.980000000003</v>
      </c>
      <c r="AI282" s="46">
        <f>ROUND(SUM(AI276:AI281),5)</f>
        <v>-22771.21</v>
      </c>
      <c r="AK282" s="21">
        <f>ROUND(SUM(AK276:AK281),5)</f>
        <v>-1112.9549999999999</v>
      </c>
      <c r="AL282" s="21">
        <f>ROUND(SUM(AL276:AL281),5)</f>
        <v>-7221.34</v>
      </c>
      <c r="AM282" s="21">
        <f>ROUND(SUM(AM276:AM281),5)</f>
        <v>4995.43</v>
      </c>
    </row>
    <row r="283" spans="1:39" s="25" customFormat="1" x14ac:dyDescent="0.2">
      <c r="A283" s="19"/>
      <c r="B283" s="19"/>
      <c r="C283" s="19"/>
      <c r="D283" s="19"/>
      <c r="E283" s="19"/>
      <c r="F283" s="19" t="s">
        <v>293</v>
      </c>
      <c r="G283" s="19"/>
      <c r="H283" s="21"/>
      <c r="I283" s="21"/>
      <c r="J283" s="21"/>
      <c r="K283" s="21"/>
      <c r="L283" s="21"/>
      <c r="M283" s="21"/>
      <c r="N283" s="21"/>
      <c r="O283" s="21"/>
      <c r="P283" s="21"/>
      <c r="Q283" s="21"/>
      <c r="R283" s="21"/>
      <c r="S283" s="22"/>
      <c r="T283" s="22"/>
      <c r="U283" s="22"/>
      <c r="V283" s="22"/>
      <c r="W283" s="22"/>
      <c r="X283" s="22"/>
      <c r="Y283" s="26"/>
      <c r="AA283" s="26"/>
      <c r="AC283" s="21"/>
      <c r="AD283" s="21"/>
      <c r="AE283" s="21"/>
      <c r="AG283" s="21"/>
      <c r="AH283" s="21"/>
      <c r="AI283" s="21"/>
      <c r="AK283" s="21"/>
      <c r="AL283" s="21"/>
      <c r="AM283" s="21"/>
    </row>
    <row r="284" spans="1:39" s="25" customFormat="1" ht="12" thickBot="1" x14ac:dyDescent="0.25">
      <c r="A284" s="19"/>
      <c r="B284" s="19"/>
      <c r="C284" s="19"/>
      <c r="D284" s="19"/>
      <c r="E284" s="19"/>
      <c r="F284" s="19"/>
      <c r="G284" s="19" t="s">
        <v>294</v>
      </c>
      <c r="H284" s="21"/>
      <c r="I284" s="33"/>
      <c r="J284" s="21"/>
      <c r="K284" s="33"/>
      <c r="L284" s="21"/>
      <c r="M284" s="33"/>
      <c r="N284" s="21"/>
      <c r="O284" s="33"/>
      <c r="P284" s="33"/>
      <c r="Q284" s="33">
        <v>1587.55</v>
      </c>
      <c r="R284" s="33"/>
      <c r="S284" s="34">
        <v>635.64</v>
      </c>
      <c r="T284" s="28"/>
      <c r="U284" s="28"/>
      <c r="V284" s="22"/>
      <c r="W284" s="34">
        <v>534.4</v>
      </c>
      <c r="X284" s="22"/>
      <c r="Y284" s="35">
        <v>1500</v>
      </c>
      <c r="AA284" s="35">
        <v>1500</v>
      </c>
      <c r="AC284" s="34">
        <f>AVERAGE(K284:S284)</f>
        <v>1111.595</v>
      </c>
      <c r="AD284" s="34">
        <f>MAX(K284:S284)</f>
        <v>1587.55</v>
      </c>
      <c r="AE284" s="34">
        <f>MIN(K284:S284)</f>
        <v>635.64</v>
      </c>
      <c r="AG284" s="34">
        <f t="shared" ref="AG284" si="313">+W284-AC284</f>
        <v>-577.19500000000005</v>
      </c>
      <c r="AH284" s="34">
        <f t="shared" ref="AH284" si="314">+W284-AD284</f>
        <v>-1053.1500000000001</v>
      </c>
      <c r="AI284" s="34">
        <f t="shared" ref="AI284" si="315">+W284-AE284</f>
        <v>-101.24000000000001</v>
      </c>
      <c r="AK284" s="33">
        <f t="shared" ref="AK284" si="316">+Y284-AC284</f>
        <v>388.40499999999997</v>
      </c>
      <c r="AL284" s="33">
        <f t="shared" ref="AL284" si="317">+Y284-AD284</f>
        <v>-87.549999999999955</v>
      </c>
      <c r="AM284" s="33">
        <f t="shared" ref="AM284" si="318">+Y284-AE284</f>
        <v>864.36</v>
      </c>
    </row>
    <row r="285" spans="1:39" s="25" customFormat="1" x14ac:dyDescent="0.2">
      <c r="A285" s="19"/>
      <c r="B285" s="19"/>
      <c r="C285" s="19"/>
      <c r="D285" s="19"/>
      <c r="E285" s="19"/>
      <c r="F285" s="19" t="s">
        <v>295</v>
      </c>
      <c r="G285" s="19"/>
      <c r="H285" s="21"/>
      <c r="I285" s="21">
        <f>ROUND(SUM(I283:I284),5)</f>
        <v>0</v>
      </c>
      <c r="J285" s="21"/>
      <c r="K285" s="21">
        <f>ROUND(SUM(K283:K284),5)</f>
        <v>0</v>
      </c>
      <c r="L285" s="21"/>
      <c r="M285" s="21">
        <f>ROUND(SUM(M283:M284),5)</f>
        <v>0</v>
      </c>
      <c r="N285" s="21"/>
      <c r="O285" s="21">
        <f>ROUND(SUM(O283:O284),5)</f>
        <v>0</v>
      </c>
      <c r="P285" s="21"/>
      <c r="Q285" s="21">
        <f>ROUND(SUM(Q283:Q284),5)</f>
        <v>1587.55</v>
      </c>
      <c r="R285" s="21"/>
      <c r="S285" s="22">
        <f>ROUND(SUM(S283:S284),5)</f>
        <v>635.64</v>
      </c>
      <c r="T285" s="22"/>
      <c r="U285" s="22"/>
      <c r="V285" s="22"/>
      <c r="W285" s="22">
        <f>ROUND(SUM(W283:W284),5)</f>
        <v>534.4</v>
      </c>
      <c r="X285" s="22"/>
      <c r="Y285" s="26">
        <f>ROUND(SUM(Y283:Y284),5)</f>
        <v>1500</v>
      </c>
      <c r="AA285" s="26">
        <f>ROUND(SUM(AA283:AA284),5)</f>
        <v>1500</v>
      </c>
      <c r="AC285" s="46">
        <f t="shared" ref="AC285:AE285" si="319">ROUND(SUM(AC283:AC284),5)</f>
        <v>1111.595</v>
      </c>
      <c r="AD285" s="46">
        <f t="shared" si="319"/>
        <v>1587.55</v>
      </c>
      <c r="AE285" s="46">
        <f t="shared" si="319"/>
        <v>635.64</v>
      </c>
      <c r="AG285" s="46">
        <f t="shared" ref="AG285:AI285" si="320">ROUND(SUM(AG283:AG284),5)</f>
        <v>-577.19500000000005</v>
      </c>
      <c r="AH285" s="46">
        <f t="shared" si="320"/>
        <v>-1053.1500000000001</v>
      </c>
      <c r="AI285" s="46">
        <f t="shared" si="320"/>
        <v>-101.24</v>
      </c>
      <c r="AK285" s="21">
        <f t="shared" ref="AK285:AM285" si="321">ROUND(SUM(AK283:AK284),5)</f>
        <v>388.40499999999997</v>
      </c>
      <c r="AL285" s="21">
        <f t="shared" si="321"/>
        <v>-87.55</v>
      </c>
      <c r="AM285" s="21">
        <f t="shared" si="321"/>
        <v>864.36</v>
      </c>
    </row>
    <row r="286" spans="1:39" s="25" customFormat="1" x14ac:dyDescent="0.2">
      <c r="A286" s="19"/>
      <c r="B286" s="19"/>
      <c r="C286" s="19"/>
      <c r="D286" s="19"/>
      <c r="E286" s="19"/>
      <c r="F286" s="19" t="s">
        <v>296</v>
      </c>
      <c r="G286" s="19"/>
      <c r="H286" s="21"/>
      <c r="I286" s="21"/>
      <c r="J286" s="21"/>
      <c r="K286" s="21"/>
      <c r="L286" s="21"/>
      <c r="M286" s="21"/>
      <c r="N286" s="21"/>
      <c r="O286" s="21"/>
      <c r="P286" s="21"/>
      <c r="Q286" s="21"/>
      <c r="R286" s="21"/>
      <c r="S286" s="22"/>
      <c r="T286" s="22"/>
      <c r="U286" s="22"/>
      <c r="V286" s="22"/>
      <c r="W286" s="22"/>
      <c r="X286" s="22"/>
      <c r="Y286" s="26"/>
      <c r="AA286" s="26"/>
      <c r="AC286" s="21"/>
      <c r="AD286" s="21"/>
      <c r="AE286" s="21"/>
      <c r="AG286" s="21"/>
      <c r="AH286" s="21"/>
      <c r="AI286" s="21"/>
      <c r="AK286" s="21"/>
      <c r="AL286" s="21"/>
      <c r="AM286" s="21"/>
    </row>
    <row r="287" spans="1:39" s="25" customFormat="1" x14ac:dyDescent="0.2">
      <c r="A287" s="19"/>
      <c r="B287" s="19"/>
      <c r="C287" s="19"/>
      <c r="D287" s="19"/>
      <c r="E287" s="19"/>
      <c r="F287" s="19"/>
      <c r="G287" s="19" t="s">
        <v>297</v>
      </c>
      <c r="H287" s="21"/>
      <c r="I287" s="21"/>
      <c r="J287" s="21"/>
      <c r="K287" s="21"/>
      <c r="L287" s="21"/>
      <c r="M287" s="21"/>
      <c r="N287" s="21"/>
      <c r="O287" s="21"/>
      <c r="P287" s="21"/>
      <c r="Q287" s="21">
        <v>602.33000000000004</v>
      </c>
      <c r="R287" s="21"/>
      <c r="S287" s="22">
        <v>541.76</v>
      </c>
      <c r="T287" s="22"/>
      <c r="U287" s="22"/>
      <c r="V287" s="22"/>
      <c r="W287" s="22">
        <v>289.8</v>
      </c>
      <c r="X287" s="22"/>
      <c r="Y287" s="26">
        <v>625</v>
      </c>
      <c r="AA287" s="26">
        <v>700</v>
      </c>
      <c r="AC287" s="22">
        <f t="shared" ref="AC287:AC292" si="322">AVERAGE(K287:S287)</f>
        <v>572.04500000000007</v>
      </c>
      <c r="AD287" s="22">
        <f>MAX(K287:S287)</f>
        <v>602.33000000000004</v>
      </c>
      <c r="AE287" s="22">
        <f>MIN(K287:S287)</f>
        <v>541.76</v>
      </c>
      <c r="AG287" s="22">
        <f t="shared" ref="AG287:AG292" si="323">+W287-AC287</f>
        <v>-282.24500000000006</v>
      </c>
      <c r="AH287" s="22">
        <f t="shared" ref="AH287:AH292" si="324">+W287-AD287</f>
        <v>-312.53000000000003</v>
      </c>
      <c r="AI287" s="22">
        <f t="shared" ref="AI287:AI292" si="325">+W287-AE287</f>
        <v>-251.95999999999998</v>
      </c>
      <c r="AK287" s="21">
        <f t="shared" ref="AK287:AK292" si="326">+Y287-AC287</f>
        <v>52.954999999999927</v>
      </c>
      <c r="AL287" s="21">
        <f t="shared" ref="AL287:AL292" si="327">+Y287-AD287</f>
        <v>22.669999999999959</v>
      </c>
      <c r="AM287" s="21">
        <f t="shared" ref="AM287:AM292" si="328">+Y287-AE287</f>
        <v>83.240000000000009</v>
      </c>
    </row>
    <row r="288" spans="1:39" s="25" customFormat="1" x14ac:dyDescent="0.2">
      <c r="A288" s="19"/>
      <c r="B288" s="19"/>
      <c r="C288" s="19"/>
      <c r="D288" s="19"/>
      <c r="E288" s="19"/>
      <c r="F288" s="19"/>
      <c r="G288" s="19" t="s">
        <v>298</v>
      </c>
      <c r="H288" s="21"/>
      <c r="I288" s="21"/>
      <c r="J288" s="21"/>
      <c r="K288" s="21"/>
      <c r="L288" s="21"/>
      <c r="M288" s="21"/>
      <c r="N288" s="21"/>
      <c r="O288" s="21"/>
      <c r="P288" s="21"/>
      <c r="Q288" s="21"/>
      <c r="R288" s="21"/>
      <c r="S288" s="22">
        <v>6.85</v>
      </c>
      <c r="T288" s="22"/>
      <c r="U288" s="22"/>
      <c r="V288" s="22"/>
      <c r="W288" s="22">
        <v>13.9</v>
      </c>
      <c r="X288" s="22"/>
      <c r="Y288" s="26">
        <v>50</v>
      </c>
      <c r="AA288" s="26">
        <v>50</v>
      </c>
      <c r="AC288" s="22">
        <f t="shared" si="322"/>
        <v>6.85</v>
      </c>
      <c r="AD288" s="22"/>
      <c r="AE288" s="22"/>
      <c r="AG288" s="22"/>
      <c r="AH288" s="22"/>
      <c r="AI288" s="22"/>
      <c r="AK288" s="21"/>
      <c r="AL288" s="21"/>
      <c r="AM288" s="21"/>
    </row>
    <row r="289" spans="1:39" s="25" customFormat="1" x14ac:dyDescent="0.2">
      <c r="A289" s="19"/>
      <c r="B289" s="19"/>
      <c r="C289" s="19"/>
      <c r="D289" s="19"/>
      <c r="E289" s="19"/>
      <c r="F289" s="19"/>
      <c r="G289" s="19" t="s">
        <v>299</v>
      </c>
      <c r="H289" s="21"/>
      <c r="I289" s="21"/>
      <c r="J289" s="21"/>
      <c r="K289" s="21"/>
      <c r="L289" s="21"/>
      <c r="M289" s="21"/>
      <c r="N289" s="21"/>
      <c r="O289" s="21"/>
      <c r="P289" s="21"/>
      <c r="Q289" s="21">
        <v>40</v>
      </c>
      <c r="R289" s="21"/>
      <c r="S289" s="22">
        <v>452.03</v>
      </c>
      <c r="T289" s="22"/>
      <c r="U289" s="22"/>
      <c r="V289" s="22"/>
      <c r="W289" s="22">
        <v>0</v>
      </c>
      <c r="X289" s="22"/>
      <c r="Y289" s="26">
        <v>200</v>
      </c>
      <c r="AA289" s="26">
        <v>500</v>
      </c>
      <c r="AC289" s="22">
        <f t="shared" si="322"/>
        <v>246.01499999999999</v>
      </c>
      <c r="AD289" s="22">
        <f>MAX(K289:S289)</f>
        <v>452.03</v>
      </c>
      <c r="AE289" s="22">
        <f>MIN(K289:S289)</f>
        <v>40</v>
      </c>
      <c r="AG289" s="22">
        <f t="shared" si="323"/>
        <v>-246.01499999999999</v>
      </c>
      <c r="AH289" s="22">
        <f t="shared" si="324"/>
        <v>-452.03</v>
      </c>
      <c r="AI289" s="22">
        <f t="shared" si="325"/>
        <v>-40</v>
      </c>
      <c r="AK289" s="21">
        <f t="shared" si="326"/>
        <v>-46.014999999999986</v>
      </c>
      <c r="AL289" s="21">
        <f t="shared" si="327"/>
        <v>-252.02999999999997</v>
      </c>
      <c r="AM289" s="21">
        <f t="shared" si="328"/>
        <v>160</v>
      </c>
    </row>
    <row r="290" spans="1:39" s="25" customFormat="1" x14ac:dyDescent="0.2">
      <c r="A290" s="19"/>
      <c r="B290" s="19"/>
      <c r="C290" s="19"/>
      <c r="D290" s="19"/>
      <c r="E290" s="19"/>
      <c r="F290" s="19"/>
      <c r="G290" s="19" t="s">
        <v>300</v>
      </c>
      <c r="H290" s="21"/>
      <c r="I290" s="21"/>
      <c r="J290" s="21"/>
      <c r="K290" s="21"/>
      <c r="L290" s="21"/>
      <c r="M290" s="21"/>
      <c r="N290" s="21"/>
      <c r="O290" s="21"/>
      <c r="P290" s="21"/>
      <c r="Q290" s="21">
        <v>1918.57</v>
      </c>
      <c r="R290" s="21"/>
      <c r="S290" s="22">
        <v>1075</v>
      </c>
      <c r="T290" s="22"/>
      <c r="U290" s="22"/>
      <c r="V290" s="22"/>
      <c r="W290" s="22">
        <v>30</v>
      </c>
      <c r="X290" s="22"/>
      <c r="Y290" s="26">
        <v>2500</v>
      </c>
      <c r="AA290" s="26">
        <v>1000</v>
      </c>
      <c r="AC290" s="26">
        <f t="shared" si="322"/>
        <v>1496.7849999999999</v>
      </c>
      <c r="AD290" s="26">
        <f>MAX(K290:S290)</f>
        <v>1918.57</v>
      </c>
      <c r="AE290" s="26">
        <f>MIN(K290:S290)</f>
        <v>1075</v>
      </c>
      <c r="AG290" s="26">
        <f t="shared" si="323"/>
        <v>-1466.7849999999999</v>
      </c>
      <c r="AH290" s="26">
        <f t="shared" si="324"/>
        <v>-1888.57</v>
      </c>
      <c r="AI290" s="26">
        <f t="shared" si="325"/>
        <v>-1045</v>
      </c>
      <c r="AK290" s="21">
        <f t="shared" si="326"/>
        <v>1003.2150000000001</v>
      </c>
      <c r="AL290" s="21">
        <f t="shared" si="327"/>
        <v>581.43000000000006</v>
      </c>
      <c r="AM290" s="21">
        <f t="shared" si="328"/>
        <v>1425</v>
      </c>
    </row>
    <row r="291" spans="1:39" s="25" customFormat="1" x14ac:dyDescent="0.2">
      <c r="A291" s="19"/>
      <c r="B291" s="19"/>
      <c r="C291" s="19"/>
      <c r="D291" s="19"/>
      <c r="E291" s="19"/>
      <c r="F291" s="19"/>
      <c r="G291" s="19" t="s">
        <v>301</v>
      </c>
      <c r="H291" s="21"/>
      <c r="I291" s="21"/>
      <c r="J291" s="21"/>
      <c r="K291" s="21"/>
      <c r="L291" s="21"/>
      <c r="M291" s="21"/>
      <c r="N291" s="21"/>
      <c r="O291" s="21"/>
      <c r="P291" s="21"/>
      <c r="Q291" s="21">
        <v>67.150000000000006</v>
      </c>
      <c r="R291" s="21"/>
      <c r="S291" s="22">
        <v>1203.96</v>
      </c>
      <c r="T291" s="22"/>
      <c r="U291" s="22"/>
      <c r="V291" s="22"/>
      <c r="W291" s="22">
        <v>544.47</v>
      </c>
      <c r="X291" s="22"/>
      <c r="Y291" s="26">
        <v>500</v>
      </c>
      <c r="AA291" s="26">
        <v>750</v>
      </c>
      <c r="AC291" s="26">
        <f t="shared" si="322"/>
        <v>635.55500000000006</v>
      </c>
      <c r="AD291" s="26"/>
      <c r="AE291" s="26"/>
      <c r="AG291" s="26"/>
      <c r="AH291" s="26"/>
      <c r="AI291" s="26"/>
      <c r="AK291" s="21"/>
      <c r="AL291" s="21"/>
      <c r="AM291" s="21"/>
    </row>
    <row r="292" spans="1:39" s="25" customFormat="1" ht="12" thickBot="1" x14ac:dyDescent="0.25">
      <c r="A292" s="19"/>
      <c r="B292" s="19"/>
      <c r="C292" s="19"/>
      <c r="D292" s="19"/>
      <c r="E292" s="19"/>
      <c r="F292" s="19"/>
      <c r="G292" s="19" t="s">
        <v>302</v>
      </c>
      <c r="H292" s="21"/>
      <c r="I292" s="33"/>
      <c r="J292" s="21"/>
      <c r="K292" s="33"/>
      <c r="L292" s="21"/>
      <c r="M292" s="33"/>
      <c r="N292" s="21"/>
      <c r="O292" s="33"/>
      <c r="P292" s="33"/>
      <c r="Q292" s="21">
        <v>61.99</v>
      </c>
      <c r="R292" s="21"/>
      <c r="S292" s="22">
        <v>103.34</v>
      </c>
      <c r="T292" s="28"/>
      <c r="U292" s="28"/>
      <c r="V292" s="22"/>
      <c r="W292" s="22">
        <v>0</v>
      </c>
      <c r="X292" s="22"/>
      <c r="Y292" s="35">
        <v>500</v>
      </c>
      <c r="AA292" s="35">
        <v>250</v>
      </c>
      <c r="AC292" s="34">
        <f t="shared" si="322"/>
        <v>82.665000000000006</v>
      </c>
      <c r="AD292" s="34">
        <f>MAX(K292:S292)</f>
        <v>103.34</v>
      </c>
      <c r="AE292" s="34">
        <f>MIN(K292:S292)</f>
        <v>61.99</v>
      </c>
      <c r="AG292" s="34">
        <f t="shared" si="323"/>
        <v>-82.665000000000006</v>
      </c>
      <c r="AH292" s="34">
        <f t="shared" si="324"/>
        <v>-103.34</v>
      </c>
      <c r="AI292" s="34">
        <f t="shared" si="325"/>
        <v>-61.99</v>
      </c>
      <c r="AK292" s="33">
        <f t="shared" si="326"/>
        <v>417.33499999999998</v>
      </c>
      <c r="AL292" s="33">
        <f t="shared" si="327"/>
        <v>396.65999999999997</v>
      </c>
      <c r="AM292" s="33">
        <f t="shared" si="328"/>
        <v>438.01</v>
      </c>
    </row>
    <row r="293" spans="1:39" s="25" customFormat="1" ht="12" thickBot="1" x14ac:dyDescent="0.25">
      <c r="A293" s="19"/>
      <c r="B293" s="19"/>
      <c r="C293" s="19"/>
      <c r="D293" s="19"/>
      <c r="E293" s="19"/>
      <c r="F293" s="19" t="s">
        <v>303</v>
      </c>
      <c r="G293" s="19"/>
      <c r="H293" s="21"/>
      <c r="I293" s="47">
        <f>ROUND(SUM(I286:I292),5)</f>
        <v>0</v>
      </c>
      <c r="J293" s="21"/>
      <c r="K293" s="47">
        <f>ROUND(SUM(K286:K292),5)</f>
        <v>0</v>
      </c>
      <c r="L293" s="21"/>
      <c r="M293" s="47">
        <f>ROUND(SUM(M286:M292),5)</f>
        <v>0</v>
      </c>
      <c r="N293" s="21"/>
      <c r="O293" s="47">
        <f>ROUND(SUM(O286:O292),5)</f>
        <v>0</v>
      </c>
      <c r="P293" s="21"/>
      <c r="Q293" s="30">
        <f>ROUND(SUM(Q286:Q292),5)</f>
        <v>2690.04</v>
      </c>
      <c r="R293" s="33"/>
      <c r="S293" s="30">
        <f>ROUND(SUM(S286:S292),5)</f>
        <v>3382.94</v>
      </c>
      <c r="T293" s="22"/>
      <c r="U293" s="22"/>
      <c r="V293" s="22"/>
      <c r="W293" s="34">
        <f>ROUND(SUM(W286:W292),5)</f>
        <v>878.17</v>
      </c>
      <c r="X293" s="34"/>
      <c r="Y293" s="35">
        <f>ROUND(SUM(Y286:Y292),5)</f>
        <v>4375</v>
      </c>
      <c r="Z293" s="48"/>
      <c r="AA293" s="35">
        <f>ROUND(SUM(AA286:AA292),5)</f>
        <v>3250</v>
      </c>
      <c r="AB293" s="48"/>
      <c r="AC293" s="49">
        <f>ROUND(SUM(AC286:AC292),5)</f>
        <v>3039.915</v>
      </c>
      <c r="AD293" s="49">
        <f>ROUND(SUM(AD286:AD292),5)</f>
        <v>3076.27</v>
      </c>
      <c r="AE293" s="49">
        <f>ROUND(SUM(AE286:AE292),5)</f>
        <v>1718.75</v>
      </c>
      <c r="AF293" s="48"/>
      <c r="AG293" s="49">
        <f>ROUND(SUM(AG286:AG292),5)</f>
        <v>-2077.71</v>
      </c>
      <c r="AH293" s="49">
        <f>ROUND(SUM(AH286:AH292),5)</f>
        <v>-2756.47</v>
      </c>
      <c r="AI293" s="49">
        <f>ROUND(SUM(AI286:AI292),5)</f>
        <v>-1398.95</v>
      </c>
      <c r="AJ293" s="48"/>
      <c r="AK293" s="21">
        <f>ROUND(SUM(AK286:AK292),5)</f>
        <v>1427.49</v>
      </c>
      <c r="AL293" s="21">
        <f>ROUND(SUM(AL286:AL292),5)</f>
        <v>748.73</v>
      </c>
      <c r="AM293" s="21">
        <f>ROUND(SUM(AM286:AM292),5)</f>
        <v>2106.25</v>
      </c>
    </row>
    <row r="294" spans="1:39" s="25" customFormat="1" x14ac:dyDescent="0.2">
      <c r="A294" s="19"/>
      <c r="B294" s="19"/>
      <c r="C294" s="19"/>
      <c r="D294" s="19"/>
      <c r="E294" s="40" t="s">
        <v>304</v>
      </c>
      <c r="F294" s="19"/>
      <c r="G294" s="19"/>
      <c r="H294" s="21"/>
      <c r="I294" s="20">
        <f>ROUND(I275+I282+I285+I293,5)</f>
        <v>0</v>
      </c>
      <c r="J294" s="21"/>
      <c r="K294" s="20">
        <f>ROUND(K275+K282+K285+K293,5)</f>
        <v>0</v>
      </c>
      <c r="L294" s="21"/>
      <c r="M294" s="20">
        <f>ROUND(M275+M282+M285+M293,5)</f>
        <v>0</v>
      </c>
      <c r="N294" s="21"/>
      <c r="O294" s="20">
        <f>ROUND(O275+O282+O285+O293,5)</f>
        <v>0</v>
      </c>
      <c r="P294" s="21"/>
      <c r="Q294" s="21">
        <f>ROUND(Q275+Q282+Q285+Q293,5)</f>
        <v>76971.75</v>
      </c>
      <c r="R294" s="21"/>
      <c r="S294" s="22">
        <f>ROUND(S275+S282+S285+SUM(S293:S293),5)</f>
        <v>65394.33</v>
      </c>
      <c r="T294" s="22"/>
      <c r="U294" s="22"/>
      <c r="V294" s="22"/>
      <c r="W294" s="22">
        <f>ROUND(W275+W282+W285+SUM(W293:W293),5)</f>
        <v>40397.71</v>
      </c>
      <c r="X294" s="22"/>
      <c r="Y294" s="26">
        <f>ROUND(Y275+Y282+Y285+SUM(Y293:Y293),5)</f>
        <v>73338</v>
      </c>
      <c r="AA294" s="26">
        <f>ROUND(AA275+AA282+AA285+SUM(AA293:AA293),5)</f>
        <v>74673.154399999999</v>
      </c>
      <c r="AC294" s="46">
        <f>ROUND(AC275+AC282+AC285+SUM(AC293:AC293),5)</f>
        <v>71186.464999999997</v>
      </c>
      <c r="AD294" s="46">
        <f>ROUND(AD275+AD282+AD285+SUM(AD293:AD293),5)</f>
        <v>77807.16</v>
      </c>
      <c r="AE294" s="46">
        <f>ROUND(AE275+AE282+AE285+SUM(AE293:AE293),5)</f>
        <v>63280.959999999999</v>
      </c>
      <c r="AG294" s="46">
        <f>ROUND(AG275+AG282+AG285+SUM(AG293:AG293),5)</f>
        <v>-31534.5</v>
      </c>
      <c r="AH294" s="46">
        <f>ROUND(AH275+AH282+AH285+SUM(AH293:AH293),5)</f>
        <v>-38797.599999999999</v>
      </c>
      <c r="AI294" s="46">
        <f>ROUND(AI275+AI282+AI285+SUM(AI293:AI293),5)</f>
        <v>-24271.4</v>
      </c>
      <c r="AK294" s="21">
        <f>ROUND(AK275+AK282+AK285+SUM(AK293:AK293),5)</f>
        <v>702.94</v>
      </c>
      <c r="AL294" s="21">
        <f>ROUND(AL275+AL282+AL285+SUM(AL293:AL293),5)</f>
        <v>-6560.16</v>
      </c>
      <c r="AM294" s="21">
        <f>ROUND(AM275+AM282+AM285+SUM(AM293:AM293),5)</f>
        <v>7966.04</v>
      </c>
    </row>
    <row r="295" spans="1:39" s="25" customFormat="1" x14ac:dyDescent="0.2">
      <c r="A295" s="19"/>
      <c r="B295" s="19"/>
      <c r="C295" s="19"/>
      <c r="D295" s="19"/>
      <c r="E295" s="19"/>
      <c r="F295" s="19"/>
      <c r="G295" s="19"/>
      <c r="H295" s="21"/>
      <c r="I295" s="21"/>
      <c r="J295" s="21"/>
      <c r="K295" s="21"/>
      <c r="L295" s="21"/>
      <c r="M295" s="21"/>
      <c r="N295" s="21"/>
      <c r="O295" s="21"/>
      <c r="P295" s="21"/>
      <c r="Q295" s="21"/>
      <c r="R295" s="21"/>
      <c r="S295" s="22"/>
      <c r="T295" s="22"/>
      <c r="U295" s="22"/>
      <c r="V295" s="22"/>
      <c r="W295" s="22"/>
      <c r="X295" s="22"/>
      <c r="Y295" s="26"/>
      <c r="AA295" s="26"/>
      <c r="AC295" s="21"/>
      <c r="AD295" s="21"/>
      <c r="AE295" s="21"/>
      <c r="AG295" s="21"/>
      <c r="AH295" s="21"/>
      <c r="AI295" s="21"/>
      <c r="AK295" s="21"/>
      <c r="AL295" s="21"/>
      <c r="AM295" s="21"/>
    </row>
    <row r="296" spans="1:39" s="25" customFormat="1" x14ac:dyDescent="0.2">
      <c r="A296" s="19"/>
      <c r="B296" s="19"/>
      <c r="C296" s="19"/>
      <c r="D296" s="19"/>
      <c r="E296" s="40" t="s">
        <v>305</v>
      </c>
      <c r="F296" s="19"/>
      <c r="G296" s="19"/>
      <c r="H296" s="21"/>
      <c r="I296" s="21"/>
      <c r="J296" s="21"/>
      <c r="K296" s="21"/>
      <c r="L296" s="21"/>
      <c r="M296" s="21"/>
      <c r="N296" s="21"/>
      <c r="O296" s="21"/>
      <c r="P296" s="21"/>
      <c r="Q296" s="21"/>
      <c r="R296" s="21"/>
      <c r="S296" s="22"/>
      <c r="T296" s="22"/>
      <c r="U296" s="22"/>
      <c r="V296" s="22"/>
      <c r="W296" s="22"/>
      <c r="X296" s="22"/>
      <c r="Y296" s="26"/>
      <c r="AA296" s="26"/>
      <c r="AC296" s="21"/>
      <c r="AD296" s="21"/>
      <c r="AE296" s="21"/>
      <c r="AG296" s="21"/>
      <c r="AH296" s="21"/>
      <c r="AI296" s="21"/>
      <c r="AK296" s="21"/>
      <c r="AL296" s="21"/>
      <c r="AM296" s="21"/>
    </row>
    <row r="297" spans="1:39" s="25" customFormat="1" x14ac:dyDescent="0.2">
      <c r="A297" s="19"/>
      <c r="B297" s="19"/>
      <c r="C297" s="19"/>
      <c r="D297" s="19"/>
      <c r="E297" s="19"/>
      <c r="F297" s="19" t="s">
        <v>306</v>
      </c>
      <c r="G297" s="19"/>
      <c r="H297" s="21"/>
      <c r="I297" s="21"/>
      <c r="J297" s="21"/>
      <c r="K297" s="21"/>
      <c r="L297" s="21"/>
      <c r="M297" s="21"/>
      <c r="N297" s="21"/>
      <c r="O297" s="21"/>
      <c r="P297" s="21"/>
      <c r="Q297" s="21"/>
      <c r="R297" s="21"/>
      <c r="S297" s="22"/>
      <c r="T297" s="22"/>
      <c r="U297" s="22"/>
      <c r="V297" s="22"/>
      <c r="W297" s="22"/>
      <c r="X297" s="22"/>
      <c r="Y297" s="26"/>
      <c r="AA297" s="26"/>
      <c r="AC297" s="21"/>
      <c r="AD297" s="21"/>
      <c r="AE297" s="21"/>
      <c r="AG297" s="21"/>
      <c r="AH297" s="21"/>
      <c r="AI297" s="21"/>
      <c r="AK297" s="21"/>
      <c r="AL297" s="21"/>
      <c r="AM297" s="21"/>
    </row>
    <row r="298" spans="1:39" s="25" customFormat="1" x14ac:dyDescent="0.2">
      <c r="A298" s="19"/>
      <c r="B298" s="19"/>
      <c r="C298" s="19"/>
      <c r="D298" s="19"/>
      <c r="E298" s="19"/>
      <c r="F298" s="19"/>
      <c r="G298" s="19" t="s">
        <v>307</v>
      </c>
      <c r="H298" s="21"/>
      <c r="I298" s="21">
        <v>47606</v>
      </c>
      <c r="J298" s="21"/>
      <c r="K298" s="21">
        <v>47334</v>
      </c>
      <c r="L298" s="21"/>
      <c r="M298" s="21">
        <f>56368</f>
        <v>56368</v>
      </c>
      <c r="N298" s="21"/>
      <c r="O298" s="21">
        <v>58903.8</v>
      </c>
      <c r="P298" s="21"/>
      <c r="Q298" s="21">
        <v>55148.14</v>
      </c>
      <c r="R298" s="21"/>
      <c r="S298" s="22">
        <v>62536.25</v>
      </c>
      <c r="T298" s="22"/>
      <c r="U298" s="22"/>
      <c r="V298" s="22"/>
      <c r="W298" s="22">
        <v>29899.03</v>
      </c>
      <c r="X298" s="22"/>
      <c r="Y298" s="26">
        <v>68350</v>
      </c>
      <c r="AA298" s="26">
        <v>89037</v>
      </c>
      <c r="AB298" s="5"/>
      <c r="AC298" s="26">
        <f t="shared" ref="AC298:AC302" si="329">AVERAGE(K298:S298)</f>
        <v>56058.038</v>
      </c>
      <c r="AD298" s="26">
        <f>MAX(K298:S298)</f>
        <v>62536.25</v>
      </c>
      <c r="AE298" s="26">
        <f>MIN(K298:S298)</f>
        <v>47334</v>
      </c>
      <c r="AG298" s="26">
        <f t="shared" ref="AG298" si="330">+W298-AC298</f>
        <v>-26159.008000000002</v>
      </c>
      <c r="AH298" s="26">
        <f t="shared" ref="AH298" si="331">+W298-AD298</f>
        <v>-32637.22</v>
      </c>
      <c r="AI298" s="26">
        <f t="shared" ref="AI298" si="332">+W298-AE298</f>
        <v>-17434.97</v>
      </c>
      <c r="AK298" s="21">
        <f t="shared" ref="AK298:AK302" si="333">+Y298-AC298</f>
        <v>12291.962</v>
      </c>
      <c r="AL298" s="21">
        <f t="shared" ref="AL298:AL302" si="334">+Y298-AD298</f>
        <v>5813.75</v>
      </c>
      <c r="AM298" s="21">
        <f t="shared" ref="AM298:AM302" si="335">+Y298-AE298</f>
        <v>21016</v>
      </c>
    </row>
    <row r="299" spans="1:39" s="25" customFormat="1" x14ac:dyDescent="0.2">
      <c r="A299" s="19"/>
      <c r="B299" s="19"/>
      <c r="C299" s="19"/>
      <c r="D299" s="19"/>
      <c r="E299" s="19"/>
      <c r="F299" s="19"/>
      <c r="G299" s="19" t="s">
        <v>308</v>
      </c>
      <c r="H299" s="21"/>
      <c r="I299" s="21"/>
      <c r="J299" s="21"/>
      <c r="K299" s="21"/>
      <c r="L299" s="21"/>
      <c r="M299" s="21">
        <v>-3860</v>
      </c>
      <c r="N299" s="21"/>
      <c r="O299" s="21">
        <v>-3330</v>
      </c>
      <c r="P299" s="21"/>
      <c r="Q299" s="21">
        <v>4972.71</v>
      </c>
      <c r="R299" s="21"/>
      <c r="S299" s="26"/>
      <c r="T299" s="22"/>
      <c r="U299" s="22"/>
      <c r="V299" s="22"/>
      <c r="W299" s="26"/>
      <c r="X299" s="22"/>
      <c r="Y299" s="26">
        <v>0</v>
      </c>
      <c r="AA299" s="26"/>
      <c r="AB299" s="5"/>
      <c r="AC299" s="26">
        <f t="shared" si="329"/>
        <v>-739.09666666666669</v>
      </c>
      <c r="AD299" s="26">
        <f>MAX(K299:S299)</f>
        <v>4972.71</v>
      </c>
      <c r="AE299" s="26">
        <f>MIN(K299:S299)</f>
        <v>-3860</v>
      </c>
      <c r="AG299" s="26">
        <f>+W299-AC299</f>
        <v>739.09666666666669</v>
      </c>
      <c r="AH299" s="26">
        <f>+W299-AD299</f>
        <v>-4972.71</v>
      </c>
      <c r="AI299" s="26">
        <f>+W299-AE299</f>
        <v>3860</v>
      </c>
      <c r="AK299" s="21"/>
      <c r="AL299" s="21"/>
      <c r="AM299" s="21"/>
    </row>
    <row r="300" spans="1:39" s="25" customFormat="1" x14ac:dyDescent="0.2">
      <c r="A300" s="19"/>
      <c r="B300" s="19"/>
      <c r="C300" s="19"/>
      <c r="D300" s="19"/>
      <c r="E300" s="19"/>
      <c r="F300" s="19"/>
      <c r="G300" s="19" t="s">
        <v>309</v>
      </c>
      <c r="H300" s="21"/>
      <c r="I300" s="21">
        <v>4954</v>
      </c>
      <c r="J300" s="21"/>
      <c r="K300" s="21">
        <v>4732</v>
      </c>
      <c r="L300" s="21"/>
      <c r="M300" s="21">
        <v>6011</v>
      </c>
      <c r="N300" s="21"/>
      <c r="O300" s="21">
        <v>5450.37</v>
      </c>
      <c r="P300" s="21"/>
      <c r="Q300" s="21">
        <v>76.45</v>
      </c>
      <c r="R300" s="21"/>
      <c r="S300" s="22">
        <v>5623</v>
      </c>
      <c r="T300" s="22"/>
      <c r="U300" s="22"/>
      <c r="V300" s="22"/>
      <c r="W300" s="22">
        <v>2919.6</v>
      </c>
      <c r="X300" s="22"/>
      <c r="Y300" s="26">
        <v>5229</v>
      </c>
      <c r="AA300" s="29">
        <f>+AA298*0.0765</f>
        <v>6811.3305</v>
      </c>
      <c r="AB300" s="5"/>
      <c r="AC300" s="26">
        <f t="shared" si="329"/>
        <v>4378.5640000000003</v>
      </c>
      <c r="AD300" s="26">
        <f>MAX(K300:S300)</f>
        <v>6011</v>
      </c>
      <c r="AE300" s="26">
        <f>MIN(K300:S300)</f>
        <v>76.45</v>
      </c>
      <c r="AG300" s="26">
        <f>+W300-AC300</f>
        <v>-1458.9640000000004</v>
      </c>
      <c r="AH300" s="26">
        <f>+W300-AD300</f>
        <v>-3091.4</v>
      </c>
      <c r="AI300" s="26">
        <f>+W300-AE300</f>
        <v>2843.15</v>
      </c>
      <c r="AK300" s="21">
        <f t="shared" si="333"/>
        <v>850.43599999999969</v>
      </c>
      <c r="AL300" s="21">
        <f t="shared" si="334"/>
        <v>-782</v>
      </c>
      <c r="AM300" s="21">
        <f t="shared" si="335"/>
        <v>5152.55</v>
      </c>
    </row>
    <row r="301" spans="1:39" s="36" customFormat="1" x14ac:dyDescent="0.2">
      <c r="A301" s="19"/>
      <c r="B301" s="19"/>
      <c r="C301" s="19"/>
      <c r="D301" s="19"/>
      <c r="E301" s="19"/>
      <c r="F301" s="19"/>
      <c r="G301" s="19" t="s">
        <v>310</v>
      </c>
      <c r="H301" s="27"/>
      <c r="I301" s="27"/>
      <c r="J301" s="27"/>
      <c r="K301" s="27"/>
      <c r="L301" s="27"/>
      <c r="M301" s="27"/>
      <c r="N301" s="27"/>
      <c r="O301" s="27"/>
      <c r="P301" s="27"/>
      <c r="Q301" s="27">
        <v>0</v>
      </c>
      <c r="R301" s="27"/>
      <c r="S301" s="22">
        <v>14</v>
      </c>
      <c r="T301" s="28"/>
      <c r="U301" s="28"/>
      <c r="V301" s="28"/>
      <c r="W301" s="22">
        <v>11.7</v>
      </c>
      <c r="X301" s="28"/>
      <c r="Y301" s="29">
        <v>30</v>
      </c>
      <c r="AA301" s="29">
        <v>450</v>
      </c>
      <c r="AB301" s="43"/>
      <c r="AC301" s="27">
        <f t="shared" si="329"/>
        <v>7</v>
      </c>
      <c r="AD301" s="27">
        <f>MAX(K301:S301)</f>
        <v>14</v>
      </c>
      <c r="AE301" s="27">
        <f>MIN(K301:S301)</f>
        <v>0</v>
      </c>
      <c r="AF301" s="25"/>
      <c r="AG301" s="27">
        <f>+W301-AC301</f>
        <v>4.6999999999999993</v>
      </c>
      <c r="AH301" s="27">
        <f>+W301-AD301</f>
        <v>-2.3000000000000007</v>
      </c>
      <c r="AI301" s="27">
        <f>+W301-AE301</f>
        <v>11.7</v>
      </c>
      <c r="AJ301" s="25"/>
      <c r="AK301" s="27">
        <f t="shared" si="333"/>
        <v>23</v>
      </c>
      <c r="AL301" s="27">
        <f t="shared" si="334"/>
        <v>16</v>
      </c>
      <c r="AM301" s="27">
        <f t="shared" si="335"/>
        <v>30</v>
      </c>
    </row>
    <row r="302" spans="1:39" s="25" customFormat="1" ht="12" thickBot="1" x14ac:dyDescent="0.25">
      <c r="A302" s="19"/>
      <c r="B302" s="19"/>
      <c r="C302" s="19"/>
      <c r="D302" s="19"/>
      <c r="E302" s="19"/>
      <c r="F302" s="19"/>
      <c r="G302" s="19" t="s">
        <v>311</v>
      </c>
      <c r="H302" s="21"/>
      <c r="I302" s="33"/>
      <c r="J302" s="21"/>
      <c r="K302" s="33"/>
      <c r="L302" s="21"/>
      <c r="M302" s="33"/>
      <c r="N302" s="21"/>
      <c r="O302" s="33"/>
      <c r="P302" s="33"/>
      <c r="Q302" s="33"/>
      <c r="R302" s="33"/>
      <c r="S302" s="34">
        <v>154.05000000000001</v>
      </c>
      <c r="T302" s="28"/>
      <c r="U302" s="28"/>
      <c r="V302" s="22"/>
      <c r="W302" s="34">
        <v>57.47</v>
      </c>
      <c r="X302" s="22"/>
      <c r="Y302" s="35">
        <v>199</v>
      </c>
      <c r="AA302" s="35">
        <f>+AA298*0.29/100</f>
        <v>258.20729999999998</v>
      </c>
      <c r="AB302" s="5"/>
      <c r="AC302" s="33">
        <f t="shared" si="329"/>
        <v>154.05000000000001</v>
      </c>
      <c r="AD302" s="33">
        <f>MAX(K302:S302)</f>
        <v>154.05000000000001</v>
      </c>
      <c r="AE302" s="33">
        <f>MIN(K302:S302)</f>
        <v>154.05000000000001</v>
      </c>
      <c r="AG302" s="33">
        <f>+W302-AC302</f>
        <v>-96.580000000000013</v>
      </c>
      <c r="AH302" s="33">
        <f>+W302-AD302</f>
        <v>-96.580000000000013</v>
      </c>
      <c r="AI302" s="33">
        <f>+W302-AE302</f>
        <v>-96.580000000000013</v>
      </c>
      <c r="AK302" s="33">
        <f t="shared" si="333"/>
        <v>44.949999999999989</v>
      </c>
      <c r="AL302" s="33">
        <f t="shared" si="334"/>
        <v>44.949999999999989</v>
      </c>
      <c r="AM302" s="33">
        <f t="shared" si="335"/>
        <v>44.949999999999989</v>
      </c>
    </row>
    <row r="303" spans="1:39" s="25" customFormat="1" x14ac:dyDescent="0.2">
      <c r="A303" s="19"/>
      <c r="B303" s="19"/>
      <c r="C303" s="19"/>
      <c r="D303" s="19"/>
      <c r="E303" s="19"/>
      <c r="F303" s="19" t="s">
        <v>312</v>
      </c>
      <c r="G303" s="19"/>
      <c r="H303" s="21"/>
      <c r="I303" s="21">
        <f>ROUND(SUM(I297:I302),5)</f>
        <v>52560</v>
      </c>
      <c r="J303" s="21"/>
      <c r="K303" s="21">
        <f>ROUND(SUM(K297:K302),5)</f>
        <v>52066</v>
      </c>
      <c r="L303" s="21"/>
      <c r="M303" s="21">
        <f>ROUND(SUM(M297:M302),5)</f>
        <v>58519</v>
      </c>
      <c r="N303" s="21"/>
      <c r="O303" s="21">
        <f>ROUND(SUM(O297:O302),5)</f>
        <v>61024.17</v>
      </c>
      <c r="P303" s="21"/>
      <c r="Q303" s="21">
        <f>ROUND(SUM(Q297:Q302),5)</f>
        <v>60197.3</v>
      </c>
      <c r="R303" s="21"/>
      <c r="S303" s="26">
        <f>ROUND(SUM(S297:S302),5)</f>
        <v>68327.3</v>
      </c>
      <c r="T303" s="22"/>
      <c r="U303" s="22"/>
      <c r="V303" s="22"/>
      <c r="W303" s="26">
        <f>ROUND(SUM(W297:W302),5)</f>
        <v>32887.800000000003</v>
      </c>
      <c r="X303" s="22"/>
      <c r="Y303" s="26">
        <f>ROUND(SUM(Y297:Y302),5)</f>
        <v>73808</v>
      </c>
      <c r="AA303" s="26">
        <f>ROUND(SUM(AA297:AA302),5)</f>
        <v>96556.537800000006</v>
      </c>
      <c r="AC303" s="21">
        <f>ROUND(SUM(AC297:AC302),5)</f>
        <v>59858.555330000003</v>
      </c>
      <c r="AD303" s="21">
        <f>ROUND(SUM(AD297:AD302),5)</f>
        <v>73688.009999999995</v>
      </c>
      <c r="AE303" s="21">
        <f>ROUND(SUM(AE297:AE302),5)</f>
        <v>43704.5</v>
      </c>
      <c r="AG303" s="21">
        <f t="shared" ref="AG303:AI303" si="336">ROUND(SUM(AG297:AG302),5)</f>
        <v>-26970.75533</v>
      </c>
      <c r="AH303" s="21">
        <f t="shared" si="336"/>
        <v>-40800.21</v>
      </c>
      <c r="AI303" s="21">
        <f t="shared" si="336"/>
        <v>-10816.7</v>
      </c>
      <c r="AK303" s="21">
        <f t="shared" ref="AK303:AM303" si="337">ROUND(SUM(AK297:AK302),5)</f>
        <v>13210.348</v>
      </c>
      <c r="AL303" s="21">
        <f t="shared" si="337"/>
        <v>5092.7</v>
      </c>
      <c r="AM303" s="21">
        <f t="shared" si="337"/>
        <v>26243.5</v>
      </c>
    </row>
    <row r="304" spans="1:39" s="25" customFormat="1" x14ac:dyDescent="0.2">
      <c r="A304" s="19"/>
      <c r="B304" s="19"/>
      <c r="C304" s="19"/>
      <c r="D304" s="19"/>
      <c r="E304" s="19"/>
      <c r="F304" s="19" t="s">
        <v>313</v>
      </c>
      <c r="G304" s="19"/>
      <c r="H304" s="21"/>
      <c r="I304" s="21"/>
      <c r="J304" s="21"/>
      <c r="K304" s="21"/>
      <c r="L304" s="21"/>
      <c r="M304" s="21"/>
      <c r="N304" s="21"/>
      <c r="O304" s="21"/>
      <c r="P304" s="21"/>
      <c r="Q304" s="21"/>
      <c r="R304" s="21"/>
      <c r="S304" s="22"/>
      <c r="T304" s="22"/>
      <c r="U304" s="22"/>
      <c r="V304" s="22"/>
      <c r="W304" s="22"/>
      <c r="X304" s="22"/>
      <c r="Y304" s="26"/>
      <c r="AA304" s="26"/>
      <c r="AC304" s="21"/>
      <c r="AD304" s="21"/>
      <c r="AE304" s="21"/>
      <c r="AG304" s="21"/>
      <c r="AH304" s="21"/>
      <c r="AI304" s="21"/>
      <c r="AK304" s="21"/>
      <c r="AL304" s="21"/>
      <c r="AM304" s="21"/>
    </row>
    <row r="305" spans="1:39" s="25" customFormat="1" x14ac:dyDescent="0.2">
      <c r="A305" s="19"/>
      <c r="B305" s="19"/>
      <c r="C305" s="19"/>
      <c r="D305" s="19"/>
      <c r="E305" s="19"/>
      <c r="F305" s="19"/>
      <c r="G305" s="19" t="s">
        <v>314</v>
      </c>
      <c r="H305" s="21"/>
      <c r="I305" s="21"/>
      <c r="J305" s="21"/>
      <c r="K305" s="21"/>
      <c r="L305" s="21"/>
      <c r="M305" s="21"/>
      <c r="N305" s="21"/>
      <c r="O305" s="21"/>
      <c r="P305" s="21"/>
      <c r="Q305" s="21">
        <v>1331.76</v>
      </c>
      <c r="R305" s="21"/>
      <c r="S305" s="22">
        <v>1020.74</v>
      </c>
      <c r="T305" s="22"/>
      <c r="U305" s="22"/>
      <c r="V305" s="22"/>
      <c r="W305" s="22">
        <v>302.55</v>
      </c>
      <c r="X305" s="22"/>
      <c r="Y305" s="26">
        <v>1200</v>
      </c>
      <c r="AA305" s="26">
        <v>750</v>
      </c>
      <c r="AC305" s="21"/>
      <c r="AD305" s="21">
        <f>MAX(H305:O305)</f>
        <v>0</v>
      </c>
      <c r="AE305" s="21">
        <f>MIN(H305:O305)</f>
        <v>0</v>
      </c>
      <c r="AG305" s="21">
        <f>+W305-AC305</f>
        <v>302.55</v>
      </c>
      <c r="AH305" s="21">
        <f>+W305-AD305</f>
        <v>302.55</v>
      </c>
      <c r="AI305" s="21">
        <f>+W305-AE305</f>
        <v>302.55</v>
      </c>
      <c r="AK305" s="21">
        <f>+Y305-AC305</f>
        <v>1200</v>
      </c>
      <c r="AL305" s="21">
        <f>+Y305-AD305</f>
        <v>1200</v>
      </c>
      <c r="AM305" s="21">
        <f>+Y305-AE305</f>
        <v>1200</v>
      </c>
    </row>
    <row r="306" spans="1:39" s="25" customFormat="1" x14ac:dyDescent="0.2">
      <c r="A306" s="19"/>
      <c r="B306" s="19"/>
      <c r="C306" s="19"/>
      <c r="D306" s="19"/>
      <c r="E306" s="19"/>
      <c r="F306" s="19"/>
      <c r="G306" s="19" t="s">
        <v>315</v>
      </c>
      <c r="H306" s="21"/>
      <c r="I306" s="21">
        <v>10</v>
      </c>
      <c r="J306" s="21"/>
      <c r="K306" s="21"/>
      <c r="L306" s="21"/>
      <c r="M306" s="21"/>
      <c r="N306" s="21"/>
      <c r="O306" s="21">
        <v>522</v>
      </c>
      <c r="P306" s="21"/>
      <c r="Q306" s="21">
        <v>0</v>
      </c>
      <c r="R306" s="21"/>
      <c r="S306" s="22"/>
      <c r="T306" s="22"/>
      <c r="U306" s="22"/>
      <c r="V306" s="22"/>
      <c r="W306" s="22">
        <v>0</v>
      </c>
      <c r="X306" s="22"/>
      <c r="Y306" s="26">
        <v>0</v>
      </c>
      <c r="AA306" s="26">
        <v>0</v>
      </c>
      <c r="AC306" s="21">
        <f t="shared" ref="AC306:AC310" si="338">AVERAGE(K306:S306)</f>
        <v>261</v>
      </c>
      <c r="AD306" s="21">
        <f>MAX(K306:S306)</f>
        <v>522</v>
      </c>
      <c r="AE306" s="21">
        <f>MIN(K306:S306)</f>
        <v>0</v>
      </c>
      <c r="AG306" s="21">
        <f t="shared" ref="AG306:AG310" si="339">+W306-AC306</f>
        <v>-261</v>
      </c>
      <c r="AH306" s="21">
        <f t="shared" ref="AH306:AH310" si="340">+W306-AD306</f>
        <v>-522</v>
      </c>
      <c r="AI306" s="21">
        <f t="shared" ref="AI306:AI310" si="341">+W306-AE306</f>
        <v>0</v>
      </c>
      <c r="AK306" s="21">
        <f t="shared" ref="AK306:AK310" si="342">+Y306-AC306</f>
        <v>-261</v>
      </c>
      <c r="AL306" s="21">
        <f t="shared" ref="AL306:AL310" si="343">+Y306-AD306</f>
        <v>-522</v>
      </c>
      <c r="AM306" s="21">
        <f t="shared" ref="AM306:AM310" si="344">+Y306-AE306</f>
        <v>0</v>
      </c>
    </row>
    <row r="307" spans="1:39" s="25" customFormat="1" x14ac:dyDescent="0.2">
      <c r="A307" s="19"/>
      <c r="B307" s="19"/>
      <c r="C307" s="19"/>
      <c r="D307" s="19"/>
      <c r="E307" s="19"/>
      <c r="F307" s="19"/>
      <c r="G307" s="19" t="s">
        <v>316</v>
      </c>
      <c r="H307" s="21"/>
      <c r="I307" s="21">
        <v>1315</v>
      </c>
      <c r="J307" s="21"/>
      <c r="K307" s="21">
        <v>1138</v>
      </c>
      <c r="L307" s="21"/>
      <c r="M307" s="21">
        <v>1070</v>
      </c>
      <c r="N307" s="21"/>
      <c r="O307" s="21">
        <v>793.64</v>
      </c>
      <c r="P307" s="21"/>
      <c r="Q307" s="21">
        <v>804.42</v>
      </c>
      <c r="R307" s="21"/>
      <c r="S307" s="22"/>
      <c r="T307" s="22"/>
      <c r="U307" s="22"/>
      <c r="V307" s="22"/>
      <c r="W307" s="22">
        <v>0</v>
      </c>
      <c r="X307" s="22"/>
      <c r="Y307" s="26">
        <v>0</v>
      </c>
      <c r="AA307" s="26">
        <v>0</v>
      </c>
      <c r="AC307" s="21">
        <f t="shared" si="338"/>
        <v>951.51499999999999</v>
      </c>
      <c r="AD307" s="21">
        <f>MAX(K307:S307)</f>
        <v>1138</v>
      </c>
      <c r="AE307" s="21">
        <f>MIN(K307:S307)</f>
        <v>793.64</v>
      </c>
      <c r="AG307" s="21">
        <f t="shared" si="339"/>
        <v>-951.51499999999999</v>
      </c>
      <c r="AH307" s="21">
        <f t="shared" si="340"/>
        <v>-1138</v>
      </c>
      <c r="AI307" s="21">
        <f t="shared" si="341"/>
        <v>-793.64</v>
      </c>
      <c r="AK307" s="21">
        <f t="shared" si="342"/>
        <v>-951.51499999999999</v>
      </c>
      <c r="AL307" s="21">
        <f t="shared" si="343"/>
        <v>-1138</v>
      </c>
      <c r="AM307" s="21">
        <f t="shared" si="344"/>
        <v>-793.64</v>
      </c>
    </row>
    <row r="308" spans="1:39" s="25" customFormat="1" x14ac:dyDescent="0.2">
      <c r="A308" s="19"/>
      <c r="B308" s="19"/>
      <c r="C308" s="19"/>
      <c r="D308" s="19"/>
      <c r="E308" s="19"/>
      <c r="F308" s="19"/>
      <c r="G308" s="19" t="s">
        <v>317</v>
      </c>
      <c r="H308" s="21"/>
      <c r="I308" s="21"/>
      <c r="J308" s="21"/>
      <c r="K308" s="21"/>
      <c r="L308" s="21"/>
      <c r="M308" s="21"/>
      <c r="N308" s="21"/>
      <c r="O308" s="21"/>
      <c r="P308" s="21"/>
      <c r="Q308" s="21"/>
      <c r="R308" s="21"/>
      <c r="S308" s="22">
        <v>127.06</v>
      </c>
      <c r="T308" s="22"/>
      <c r="U308" s="22"/>
      <c r="V308" s="22"/>
      <c r="W308" s="22">
        <v>0</v>
      </c>
      <c r="X308" s="22"/>
      <c r="Y308" s="26"/>
      <c r="AA308" s="26">
        <v>0</v>
      </c>
      <c r="AC308" s="21">
        <f t="shared" si="338"/>
        <v>127.06</v>
      </c>
      <c r="AD308" s="21"/>
      <c r="AE308" s="21"/>
      <c r="AG308" s="21"/>
      <c r="AH308" s="21"/>
      <c r="AI308" s="21"/>
      <c r="AK308" s="21"/>
      <c r="AL308" s="21"/>
      <c r="AM308" s="21"/>
    </row>
    <row r="309" spans="1:39" s="25" customFormat="1" x14ac:dyDescent="0.2">
      <c r="A309" s="19"/>
      <c r="B309" s="19"/>
      <c r="C309" s="19"/>
      <c r="D309" s="19"/>
      <c r="E309" s="19"/>
      <c r="F309" s="19"/>
      <c r="G309" s="19" t="s">
        <v>318</v>
      </c>
      <c r="H309" s="21"/>
      <c r="I309" s="21">
        <v>2237</v>
      </c>
      <c r="J309" s="21"/>
      <c r="K309" s="21">
        <v>1228</v>
      </c>
      <c r="L309" s="21"/>
      <c r="M309" s="21">
        <v>2513</v>
      </c>
      <c r="N309" s="21"/>
      <c r="O309" s="21">
        <v>884.74</v>
      </c>
      <c r="P309" s="21"/>
      <c r="Q309" s="21">
        <v>2130.25</v>
      </c>
      <c r="R309" s="21"/>
      <c r="S309" s="22">
        <v>512.45000000000005</v>
      </c>
      <c r="T309" s="22"/>
      <c r="U309" s="22"/>
      <c r="V309" s="22"/>
      <c r="W309" s="22">
        <v>67.709999999999994</v>
      </c>
      <c r="X309" s="22"/>
      <c r="Y309" s="26">
        <v>1800</v>
      </c>
      <c r="AA309" s="26">
        <v>1200</v>
      </c>
      <c r="AC309" s="21">
        <f t="shared" si="338"/>
        <v>1453.6879999999999</v>
      </c>
      <c r="AD309" s="21">
        <f>MAX(K309:S309)</f>
        <v>2513</v>
      </c>
      <c r="AE309" s="21">
        <f>MIN(K309:S309)</f>
        <v>512.45000000000005</v>
      </c>
      <c r="AG309" s="21">
        <f t="shared" si="339"/>
        <v>-1385.9779999999998</v>
      </c>
      <c r="AH309" s="21">
        <f t="shared" si="340"/>
        <v>-2445.29</v>
      </c>
      <c r="AI309" s="21">
        <f t="shared" si="341"/>
        <v>-444.74000000000007</v>
      </c>
      <c r="AK309" s="21">
        <f t="shared" si="342"/>
        <v>346.31200000000013</v>
      </c>
      <c r="AL309" s="21">
        <f t="shared" si="343"/>
        <v>-713</v>
      </c>
      <c r="AM309" s="21">
        <f t="shared" si="344"/>
        <v>1287.55</v>
      </c>
    </row>
    <row r="310" spans="1:39" s="25" customFormat="1" ht="12" thickBot="1" x14ac:dyDescent="0.25">
      <c r="A310" s="19"/>
      <c r="B310" s="19"/>
      <c r="C310" s="19"/>
      <c r="D310" s="19"/>
      <c r="E310" s="19"/>
      <c r="F310" s="19"/>
      <c r="G310" s="19" t="s">
        <v>319</v>
      </c>
      <c r="H310" s="21"/>
      <c r="I310" s="27">
        <v>1368</v>
      </c>
      <c r="J310" s="21"/>
      <c r="K310" s="27">
        <v>811</v>
      </c>
      <c r="L310" s="21"/>
      <c r="M310" s="27">
        <v>1626</v>
      </c>
      <c r="N310" s="21"/>
      <c r="O310" s="27">
        <v>3224.19</v>
      </c>
      <c r="P310" s="27"/>
      <c r="Q310" s="21">
        <v>424</v>
      </c>
      <c r="R310" s="21"/>
      <c r="S310" s="22">
        <v>212.76</v>
      </c>
      <c r="T310" s="28"/>
      <c r="U310" s="28"/>
      <c r="V310" s="22"/>
      <c r="W310" s="22">
        <v>4633.43</v>
      </c>
      <c r="X310" s="22"/>
      <c r="Y310" s="29">
        <v>1500</v>
      </c>
      <c r="AA310" s="29">
        <v>1500</v>
      </c>
      <c r="AC310" s="27">
        <f t="shared" si="338"/>
        <v>1259.5900000000001</v>
      </c>
      <c r="AD310" s="27">
        <f>MAX(K310:S310)</f>
        <v>3224.19</v>
      </c>
      <c r="AE310" s="27">
        <f>MIN(K310:S310)</f>
        <v>212.76</v>
      </c>
      <c r="AG310" s="27">
        <f t="shared" si="339"/>
        <v>3373.84</v>
      </c>
      <c r="AH310" s="27">
        <f t="shared" si="340"/>
        <v>1409.2400000000002</v>
      </c>
      <c r="AI310" s="27">
        <f t="shared" si="341"/>
        <v>4420.67</v>
      </c>
      <c r="AK310" s="27">
        <f t="shared" si="342"/>
        <v>240.40999999999985</v>
      </c>
      <c r="AL310" s="27">
        <f t="shared" si="343"/>
        <v>-1724.19</v>
      </c>
      <c r="AM310" s="27">
        <f t="shared" si="344"/>
        <v>1287.24</v>
      </c>
    </row>
    <row r="311" spans="1:39" s="25" customFormat="1" ht="12" thickBot="1" x14ac:dyDescent="0.25">
      <c r="A311" s="19"/>
      <c r="B311" s="19"/>
      <c r="C311" s="19"/>
      <c r="D311" s="19"/>
      <c r="E311" s="19"/>
      <c r="F311" s="19" t="s">
        <v>320</v>
      </c>
      <c r="G311" s="19"/>
      <c r="H311" s="21"/>
      <c r="I311" s="30">
        <f>ROUND(SUM(I304:I310),5)</f>
        <v>4930</v>
      </c>
      <c r="J311" s="21"/>
      <c r="K311" s="30">
        <f>ROUND(SUM(K304:K310),5)</f>
        <v>3177</v>
      </c>
      <c r="L311" s="21"/>
      <c r="M311" s="30">
        <f>ROUND(SUM(M304:M310),5)</f>
        <v>5209</v>
      </c>
      <c r="N311" s="21"/>
      <c r="O311" s="30">
        <f>ROUND(SUM(O304:O310),5)</f>
        <v>5424.57</v>
      </c>
      <c r="P311" s="30"/>
      <c r="Q311" s="30">
        <f>ROUND(SUM(Q304:Q310),5)</f>
        <v>4690.43</v>
      </c>
      <c r="R311" s="30"/>
      <c r="S311" s="31">
        <f>ROUND(SUM(S304:S310),5)</f>
        <v>1873.01</v>
      </c>
      <c r="T311" s="28"/>
      <c r="U311" s="28"/>
      <c r="V311" s="22"/>
      <c r="W311" s="31">
        <f>ROUND(SUM(W304:W310),5)</f>
        <v>5003.6899999999996</v>
      </c>
      <c r="X311" s="22"/>
      <c r="Y311" s="32">
        <f>ROUND(SUM(Y304:Y310),5)</f>
        <v>4500</v>
      </c>
      <c r="AA311" s="32">
        <f>ROUND(SUM(AA304:AA310),5)</f>
        <v>3450</v>
      </c>
      <c r="AC311" s="30">
        <f t="shared" ref="AC311:AE311" si="345">ROUND(SUM(AC304:AC310),5)</f>
        <v>4052.8530000000001</v>
      </c>
      <c r="AD311" s="30">
        <f t="shared" si="345"/>
        <v>7397.19</v>
      </c>
      <c r="AE311" s="30">
        <f t="shared" si="345"/>
        <v>1518.85</v>
      </c>
      <c r="AG311" s="30">
        <f t="shared" ref="AG311:AI311" si="346">ROUND(SUM(AG304:AG310),5)</f>
        <v>1077.8969999999999</v>
      </c>
      <c r="AH311" s="30">
        <f t="shared" si="346"/>
        <v>-2393.5</v>
      </c>
      <c r="AI311" s="30">
        <f t="shared" si="346"/>
        <v>3484.84</v>
      </c>
      <c r="AK311" s="30">
        <f t="shared" ref="AK311:AM311" si="347">ROUND(SUM(AK304:AK310),5)</f>
        <v>574.20699999999999</v>
      </c>
      <c r="AL311" s="30">
        <f t="shared" si="347"/>
        <v>-2897.19</v>
      </c>
      <c r="AM311" s="30">
        <f t="shared" si="347"/>
        <v>2981.15</v>
      </c>
    </row>
    <row r="312" spans="1:39" s="25" customFormat="1" x14ac:dyDescent="0.2">
      <c r="A312" s="19"/>
      <c r="B312" s="19"/>
      <c r="C312" s="19"/>
      <c r="D312" s="19"/>
      <c r="E312" s="40" t="s">
        <v>321</v>
      </c>
      <c r="F312" s="19"/>
      <c r="G312" s="19"/>
      <c r="H312" s="21"/>
      <c r="I312" s="21">
        <f>ROUND(I296+I303+I311,5)</f>
        <v>57490</v>
      </c>
      <c r="J312" s="21"/>
      <c r="K312" s="21">
        <f>ROUND(K296+K303+K311,5)</f>
        <v>55243</v>
      </c>
      <c r="L312" s="21"/>
      <c r="M312" s="21">
        <f>ROUND(M296+M303+M311,5)</f>
        <v>63728</v>
      </c>
      <c r="N312" s="21"/>
      <c r="O312" s="21">
        <f>ROUND(O296+O303+O311,5)</f>
        <v>66448.740000000005</v>
      </c>
      <c r="P312" s="21"/>
      <c r="Q312" s="21">
        <f>ROUND(Q296+Q303+Q311,5)</f>
        <v>64887.73</v>
      </c>
      <c r="R312" s="21"/>
      <c r="S312" s="22">
        <f>ROUND(S296+S303+S311,5)</f>
        <v>70200.31</v>
      </c>
      <c r="T312" s="22"/>
      <c r="U312" s="22"/>
      <c r="V312" s="22"/>
      <c r="W312" s="22">
        <f>ROUND(W296+W303+W311,5)</f>
        <v>37891.49</v>
      </c>
      <c r="X312" s="22"/>
      <c r="Y312" s="26">
        <f>ROUND(Y296+Y303+Y311,5)</f>
        <v>78308</v>
      </c>
      <c r="AA312" s="26">
        <f>ROUND(AA296+AA303+AA311,5)</f>
        <v>100006.53780000001</v>
      </c>
      <c r="AC312" s="21">
        <f t="shared" ref="AC312:AE312" si="348">ROUND(AC296+AC303+AC311,5)</f>
        <v>63911.408329999998</v>
      </c>
      <c r="AD312" s="21">
        <f t="shared" si="348"/>
        <v>81085.2</v>
      </c>
      <c r="AE312" s="21">
        <f t="shared" si="348"/>
        <v>45223.35</v>
      </c>
      <c r="AG312" s="21">
        <f t="shared" ref="AG312:AI312" si="349">ROUND(AG296+AG303+AG311,5)</f>
        <v>-25892.858329999999</v>
      </c>
      <c r="AH312" s="21">
        <f t="shared" si="349"/>
        <v>-43193.71</v>
      </c>
      <c r="AI312" s="21">
        <f t="shared" si="349"/>
        <v>-7331.86</v>
      </c>
      <c r="AK312" s="21">
        <f t="shared" ref="AK312:AM312" si="350">ROUND(AK296+AK303+AK311,5)</f>
        <v>13784.555</v>
      </c>
      <c r="AL312" s="21">
        <f t="shared" si="350"/>
        <v>2195.5100000000002</v>
      </c>
      <c r="AM312" s="21">
        <f t="shared" si="350"/>
        <v>29224.65</v>
      </c>
    </row>
    <row r="313" spans="1:39" s="25" customFormat="1" x14ac:dyDescent="0.2">
      <c r="A313" s="19"/>
      <c r="B313" s="19"/>
      <c r="C313" s="19"/>
      <c r="D313" s="19"/>
      <c r="E313" s="19"/>
      <c r="F313" s="19"/>
      <c r="G313" s="19"/>
      <c r="H313" s="21"/>
      <c r="I313" s="21"/>
      <c r="J313" s="21"/>
      <c r="K313" s="21"/>
      <c r="L313" s="21"/>
      <c r="M313" s="21"/>
      <c r="N313" s="21"/>
      <c r="O313" s="21"/>
      <c r="P313" s="21"/>
      <c r="Q313" s="21"/>
      <c r="R313" s="21"/>
      <c r="S313" s="22"/>
      <c r="T313" s="22"/>
      <c r="U313" s="22"/>
      <c r="V313" s="22"/>
      <c r="W313" s="22"/>
      <c r="X313" s="22"/>
      <c r="Y313" s="26"/>
      <c r="AA313" s="26"/>
      <c r="AC313" s="21"/>
      <c r="AD313" s="21"/>
      <c r="AE313" s="21"/>
      <c r="AG313" s="21"/>
      <c r="AH313" s="21"/>
      <c r="AI313" s="21"/>
      <c r="AK313" s="21"/>
      <c r="AL313" s="21"/>
      <c r="AM313" s="21"/>
    </row>
    <row r="314" spans="1:39" s="25" customFormat="1" x14ac:dyDescent="0.2">
      <c r="A314" s="19"/>
      <c r="B314" s="19"/>
      <c r="C314" s="19"/>
      <c r="D314" s="19"/>
      <c r="E314" s="40" t="s">
        <v>322</v>
      </c>
      <c r="F314" s="19"/>
      <c r="G314" s="40"/>
      <c r="H314" s="21"/>
      <c r="I314" s="21"/>
      <c r="J314" s="21"/>
      <c r="K314" s="21"/>
      <c r="L314" s="21"/>
      <c r="M314" s="21"/>
      <c r="N314" s="21"/>
      <c r="O314" s="21"/>
      <c r="P314" s="21"/>
      <c r="Q314" s="21"/>
      <c r="R314" s="21"/>
      <c r="S314" s="22"/>
      <c r="T314" s="22"/>
      <c r="U314" s="22"/>
      <c r="V314" s="22"/>
      <c r="W314" s="22"/>
      <c r="X314" s="22"/>
      <c r="Y314" s="26"/>
      <c r="AA314" s="26"/>
      <c r="AC314" s="21"/>
      <c r="AD314" s="21"/>
      <c r="AE314" s="21"/>
      <c r="AG314" s="21"/>
      <c r="AH314" s="21"/>
      <c r="AI314" s="21"/>
      <c r="AK314" s="21"/>
      <c r="AL314" s="21"/>
      <c r="AM314" s="21"/>
    </row>
    <row r="315" spans="1:39" s="25" customFormat="1" x14ac:dyDescent="0.2">
      <c r="A315" s="19"/>
      <c r="B315" s="19"/>
      <c r="C315" s="19"/>
      <c r="D315" s="19"/>
      <c r="E315" s="19"/>
      <c r="F315" s="19" t="s">
        <v>323</v>
      </c>
      <c r="G315" s="19"/>
      <c r="H315" s="21"/>
      <c r="I315" s="21"/>
      <c r="J315" s="21"/>
      <c r="K315" s="21"/>
      <c r="L315" s="21"/>
      <c r="M315" s="21"/>
      <c r="N315" s="21"/>
      <c r="O315" s="21"/>
      <c r="P315" s="21"/>
      <c r="Q315" s="21"/>
      <c r="R315" s="21"/>
      <c r="S315" s="22"/>
      <c r="T315" s="22"/>
      <c r="U315" s="22"/>
      <c r="V315" s="22"/>
      <c r="W315" s="22"/>
      <c r="X315" s="22"/>
      <c r="Y315" s="26"/>
      <c r="AA315" s="26"/>
      <c r="AC315" s="21"/>
      <c r="AD315" s="21"/>
      <c r="AE315" s="21"/>
      <c r="AG315" s="21"/>
      <c r="AH315" s="21"/>
      <c r="AI315" s="21"/>
      <c r="AK315" s="21"/>
      <c r="AL315" s="21"/>
      <c r="AM315" s="21"/>
    </row>
    <row r="316" spans="1:39" s="25" customFormat="1" x14ac:dyDescent="0.2">
      <c r="A316" s="19"/>
      <c r="B316" s="19"/>
      <c r="C316" s="19"/>
      <c r="D316" s="19"/>
      <c r="E316" s="19"/>
      <c r="F316" s="19"/>
      <c r="G316" s="24" t="s">
        <v>324</v>
      </c>
      <c r="H316" s="21"/>
      <c r="I316" s="21">
        <v>275480</v>
      </c>
      <c r="J316" s="21"/>
      <c r="K316" s="21">
        <v>295049</v>
      </c>
      <c r="L316" s="21"/>
      <c r="M316" s="21">
        <v>272772</v>
      </c>
      <c r="N316" s="21"/>
      <c r="O316" s="21">
        <v>295921.73</v>
      </c>
      <c r="P316" s="21"/>
      <c r="Q316" s="21">
        <v>317178.53000000003</v>
      </c>
      <c r="R316" s="21"/>
      <c r="S316" s="22">
        <v>322865.61</v>
      </c>
      <c r="T316" s="22"/>
      <c r="U316" s="22"/>
      <c r="V316" s="22"/>
      <c r="W316" s="22">
        <v>336453.01</v>
      </c>
      <c r="X316" s="22"/>
      <c r="Y316" s="26">
        <v>343256</v>
      </c>
      <c r="AA316" s="26">
        <v>350000</v>
      </c>
      <c r="AC316" s="21">
        <f t="shared" ref="AC316:AC320" si="351">AVERAGE(K316:S316)</f>
        <v>300757.37400000001</v>
      </c>
      <c r="AD316" s="21">
        <f>MAX(K316:S316)</f>
        <v>322865.61</v>
      </c>
      <c r="AE316" s="21">
        <f>MIN(K316:S316)</f>
        <v>272772</v>
      </c>
      <c r="AG316" s="21">
        <f t="shared" ref="AG316:AG320" si="352">+W316-AC316</f>
        <v>35695.635999999999</v>
      </c>
      <c r="AH316" s="21">
        <f t="shared" ref="AH316:AH320" si="353">+W316-AD316</f>
        <v>13587.400000000023</v>
      </c>
      <c r="AI316" s="21">
        <f t="shared" ref="AI316:AI320" si="354">+W316-AE316</f>
        <v>63681.010000000009</v>
      </c>
      <c r="AK316" s="21">
        <f t="shared" ref="AK316:AK320" si="355">+Y316-AC316</f>
        <v>42498.625999999989</v>
      </c>
      <c r="AL316" s="21">
        <f t="shared" ref="AL316:AL320" si="356">+Y316-AD316</f>
        <v>20390.390000000014</v>
      </c>
      <c r="AM316" s="21">
        <f t="shared" ref="AM316:AM320" si="357">+Y316-AE316</f>
        <v>70484</v>
      </c>
    </row>
    <row r="317" spans="1:39" s="25" customFormat="1" x14ac:dyDescent="0.2">
      <c r="A317" s="19"/>
      <c r="B317" s="19"/>
      <c r="C317" s="19"/>
      <c r="D317" s="19"/>
      <c r="E317" s="19"/>
      <c r="F317" s="19"/>
      <c r="G317" s="24" t="s">
        <v>325</v>
      </c>
      <c r="H317" s="21"/>
      <c r="I317" s="21">
        <v>28394</v>
      </c>
      <c r="J317" s="21"/>
      <c r="K317" s="21">
        <v>29064</v>
      </c>
      <c r="L317" s="21"/>
      <c r="M317" s="21">
        <v>25994</v>
      </c>
      <c r="N317" s="21"/>
      <c r="O317" s="21">
        <v>27839.02</v>
      </c>
      <c r="P317" s="21"/>
      <c r="Q317" s="21">
        <v>29379.65</v>
      </c>
      <c r="R317" s="21"/>
      <c r="S317" s="22">
        <v>30068.21</v>
      </c>
      <c r="T317" s="22"/>
      <c r="U317" s="22"/>
      <c r="V317" s="22"/>
      <c r="W317" s="22">
        <v>31839.54</v>
      </c>
      <c r="X317" s="22"/>
      <c r="Y317" s="26">
        <v>26259</v>
      </c>
      <c r="AA317" s="26">
        <f>+AA316*7.65%</f>
        <v>26775</v>
      </c>
      <c r="AC317" s="21">
        <f t="shared" si="351"/>
        <v>28468.976000000002</v>
      </c>
      <c r="AD317" s="21">
        <f>MAX(K317:S317)</f>
        <v>30068.21</v>
      </c>
      <c r="AE317" s="21">
        <f>MIN(K317:S317)</f>
        <v>25994</v>
      </c>
      <c r="AG317" s="21">
        <f t="shared" si="352"/>
        <v>3370.5639999999985</v>
      </c>
      <c r="AH317" s="21">
        <f t="shared" si="353"/>
        <v>1771.3300000000017</v>
      </c>
      <c r="AI317" s="21">
        <f t="shared" si="354"/>
        <v>5845.5400000000009</v>
      </c>
      <c r="AK317" s="21">
        <f t="shared" si="355"/>
        <v>-2209.9760000000024</v>
      </c>
      <c r="AL317" s="21">
        <f t="shared" si="356"/>
        <v>-3809.2099999999991</v>
      </c>
      <c r="AM317" s="21">
        <f t="shared" si="357"/>
        <v>265</v>
      </c>
    </row>
    <row r="318" spans="1:39" s="25" customFormat="1" x14ac:dyDescent="0.2">
      <c r="A318" s="19"/>
      <c r="B318" s="19"/>
      <c r="C318" s="19"/>
      <c r="D318" s="19"/>
      <c r="E318" s="19"/>
      <c r="F318" s="19"/>
      <c r="G318" s="19" t="s">
        <v>326</v>
      </c>
      <c r="H318" s="21"/>
      <c r="I318" s="21">
        <v>494</v>
      </c>
      <c r="J318" s="21"/>
      <c r="K318" s="21">
        <v>502</v>
      </c>
      <c r="L318" s="21"/>
      <c r="M318" s="21">
        <v>105</v>
      </c>
      <c r="N318" s="21"/>
      <c r="O318" s="21">
        <v>418.8</v>
      </c>
      <c r="P318" s="21"/>
      <c r="Q318" s="21">
        <v>383.9</v>
      </c>
      <c r="R318" s="21"/>
      <c r="S318" s="22">
        <v>418.81</v>
      </c>
      <c r="T318" s="22"/>
      <c r="U318" s="22"/>
      <c r="V318" s="22"/>
      <c r="W318" s="22">
        <v>244.3</v>
      </c>
      <c r="X318" s="22"/>
      <c r="Y318" s="26">
        <v>419</v>
      </c>
      <c r="AA318" s="26">
        <v>704</v>
      </c>
      <c r="AC318" s="21">
        <f t="shared" si="351"/>
        <v>365.70199999999994</v>
      </c>
      <c r="AD318" s="21">
        <f>MAX(K318:S318)</f>
        <v>502</v>
      </c>
      <c r="AE318" s="21">
        <f>MIN(K318:S318)</f>
        <v>105</v>
      </c>
      <c r="AG318" s="21">
        <f t="shared" si="352"/>
        <v>-121.40199999999993</v>
      </c>
      <c r="AH318" s="21">
        <f t="shared" si="353"/>
        <v>-257.7</v>
      </c>
      <c r="AI318" s="21">
        <f t="shared" si="354"/>
        <v>139.30000000000001</v>
      </c>
      <c r="AK318" s="21">
        <f t="shared" si="355"/>
        <v>53.298000000000059</v>
      </c>
      <c r="AL318" s="21">
        <f t="shared" si="356"/>
        <v>-83</v>
      </c>
      <c r="AM318" s="21">
        <f t="shared" si="357"/>
        <v>314</v>
      </c>
    </row>
    <row r="319" spans="1:39" s="36" customFormat="1" x14ac:dyDescent="0.2">
      <c r="A319" s="19"/>
      <c r="B319" s="19"/>
      <c r="C319" s="19"/>
      <c r="D319" s="19"/>
      <c r="E319" s="19"/>
      <c r="F319" s="19"/>
      <c r="G319" s="19" t="s">
        <v>327</v>
      </c>
      <c r="H319" s="27"/>
      <c r="I319" s="27">
        <v>6327</v>
      </c>
      <c r="J319" s="27"/>
      <c r="K319" s="27">
        <v>12453</v>
      </c>
      <c r="L319" s="27"/>
      <c r="M319" s="27">
        <v>3778</v>
      </c>
      <c r="N319" s="27"/>
      <c r="O319" s="27">
        <v>13084.44</v>
      </c>
      <c r="P319" s="27"/>
      <c r="Q319" s="21">
        <v>1994.26</v>
      </c>
      <c r="R319" s="21"/>
      <c r="S319" s="22">
        <v>6956.1</v>
      </c>
      <c r="T319" s="28"/>
      <c r="U319" s="28"/>
      <c r="V319" s="28"/>
      <c r="W319" s="22">
        <v>5783.4</v>
      </c>
      <c r="X319" s="28"/>
      <c r="Y319" s="29">
        <v>6950</v>
      </c>
      <c r="AA319" s="29">
        <v>5500</v>
      </c>
      <c r="AC319" s="27">
        <f t="shared" si="351"/>
        <v>7653.1600000000008</v>
      </c>
      <c r="AD319" s="27">
        <f>MAX(K319:S319)</f>
        <v>13084.44</v>
      </c>
      <c r="AE319" s="27">
        <f>MIN(K319:S319)</f>
        <v>1994.26</v>
      </c>
      <c r="AF319" s="25"/>
      <c r="AG319" s="27">
        <f t="shared" si="352"/>
        <v>-1869.7600000000011</v>
      </c>
      <c r="AH319" s="27">
        <f t="shared" si="353"/>
        <v>-7301.0400000000009</v>
      </c>
      <c r="AI319" s="27">
        <f t="shared" si="354"/>
        <v>3789.1399999999994</v>
      </c>
      <c r="AJ319" s="25"/>
      <c r="AK319" s="27">
        <f t="shared" si="355"/>
        <v>-703.16000000000076</v>
      </c>
      <c r="AL319" s="27">
        <f t="shared" si="356"/>
        <v>-6134.4400000000005</v>
      </c>
      <c r="AM319" s="27">
        <f t="shared" si="357"/>
        <v>4955.74</v>
      </c>
    </row>
    <row r="320" spans="1:39" s="25" customFormat="1" ht="12" thickBot="1" x14ac:dyDescent="0.25">
      <c r="A320" s="19"/>
      <c r="B320" s="19"/>
      <c r="C320" s="19"/>
      <c r="D320" s="19"/>
      <c r="E320" s="19"/>
      <c r="F320" s="19"/>
      <c r="G320" s="24" t="s">
        <v>291</v>
      </c>
      <c r="H320" s="21"/>
      <c r="I320" s="33"/>
      <c r="J320" s="21"/>
      <c r="K320" s="33"/>
      <c r="L320" s="21"/>
      <c r="M320" s="33"/>
      <c r="N320" s="21"/>
      <c r="O320" s="33"/>
      <c r="P320" s="33"/>
      <c r="Q320" s="33">
        <v>0</v>
      </c>
      <c r="R320" s="33"/>
      <c r="S320" s="34">
        <v>20323.919999999998</v>
      </c>
      <c r="T320" s="28"/>
      <c r="U320" s="28"/>
      <c r="V320" s="22"/>
      <c r="W320" s="34">
        <v>7380.79</v>
      </c>
      <c r="X320" s="22"/>
      <c r="Y320" s="35">
        <v>21420</v>
      </c>
      <c r="AA320" s="35">
        <v>21840</v>
      </c>
      <c r="AC320" s="33">
        <f t="shared" si="351"/>
        <v>10161.959999999999</v>
      </c>
      <c r="AD320" s="33">
        <f>MAX(K320:S320)</f>
        <v>20323.919999999998</v>
      </c>
      <c r="AE320" s="33">
        <f>MIN(K320:S320)</f>
        <v>0</v>
      </c>
      <c r="AG320" s="33">
        <f t="shared" si="352"/>
        <v>-2781.1699999999992</v>
      </c>
      <c r="AH320" s="33">
        <f t="shared" si="353"/>
        <v>-12943.129999999997</v>
      </c>
      <c r="AI320" s="33">
        <f t="shared" si="354"/>
        <v>7380.79</v>
      </c>
      <c r="AK320" s="33">
        <f t="shared" si="355"/>
        <v>11258.04</v>
      </c>
      <c r="AL320" s="33">
        <f t="shared" si="356"/>
        <v>1096.0800000000017</v>
      </c>
      <c r="AM320" s="33">
        <f t="shared" si="357"/>
        <v>21420</v>
      </c>
    </row>
    <row r="321" spans="1:39" s="25" customFormat="1" x14ac:dyDescent="0.2">
      <c r="A321" s="19"/>
      <c r="B321" s="19"/>
      <c r="C321" s="19"/>
      <c r="D321" s="19"/>
      <c r="E321" s="19"/>
      <c r="F321" s="19" t="s">
        <v>328</v>
      </c>
      <c r="G321" s="19"/>
      <c r="H321" s="21"/>
      <c r="I321" s="21">
        <f>ROUND(SUM(I315:I320),5)</f>
        <v>310695</v>
      </c>
      <c r="J321" s="21"/>
      <c r="K321" s="21">
        <f>ROUND(SUM(K315:K320),5)</f>
        <v>337068</v>
      </c>
      <c r="L321" s="21"/>
      <c r="M321" s="21">
        <f>ROUND(SUM(M315:M320),5)</f>
        <v>302649</v>
      </c>
      <c r="N321" s="21"/>
      <c r="O321" s="21">
        <f>ROUND(SUM(O315:O320),5)</f>
        <v>337263.99</v>
      </c>
      <c r="P321" s="21"/>
      <c r="Q321" s="21">
        <f>ROUND(SUM(Q315:Q320),5)</f>
        <v>348936.34</v>
      </c>
      <c r="R321" s="21"/>
      <c r="S321" s="22">
        <f>ROUND(SUM(S315:S320),5)</f>
        <v>380632.65</v>
      </c>
      <c r="T321" s="22"/>
      <c r="U321" s="22"/>
      <c r="V321" s="22"/>
      <c r="W321" s="22">
        <f>ROUND(SUM(W315:W320),5)</f>
        <v>381701.04</v>
      </c>
      <c r="X321" s="22"/>
      <c r="Y321" s="26">
        <f>ROUND(SUM(Y315:Y320),5)</f>
        <v>398304</v>
      </c>
      <c r="AA321" s="26">
        <f>ROUND(SUM(AA315:AA320),5)</f>
        <v>404819</v>
      </c>
      <c r="AC321" s="21">
        <f t="shared" ref="AC321:AE321" si="358">ROUND(SUM(AC315:AC320),5)</f>
        <v>347407.17200000002</v>
      </c>
      <c r="AD321" s="21">
        <f t="shared" si="358"/>
        <v>386844.18</v>
      </c>
      <c r="AE321" s="21">
        <f t="shared" si="358"/>
        <v>300865.26</v>
      </c>
      <c r="AG321" s="21">
        <f t="shared" ref="AG321:AI321" si="359">ROUND(SUM(AG315:AG320),5)</f>
        <v>34293.868000000002</v>
      </c>
      <c r="AH321" s="21">
        <f t="shared" si="359"/>
        <v>-5143.1400000000003</v>
      </c>
      <c r="AI321" s="21">
        <f t="shared" si="359"/>
        <v>80835.78</v>
      </c>
      <c r="AK321" s="21">
        <f t="shared" ref="AK321:AM321" si="360">ROUND(SUM(AK315:AK320),5)</f>
        <v>50896.828000000001</v>
      </c>
      <c r="AL321" s="21">
        <f t="shared" si="360"/>
        <v>11459.82</v>
      </c>
      <c r="AM321" s="21">
        <f t="shared" si="360"/>
        <v>97438.74</v>
      </c>
    </row>
    <row r="322" spans="1:39" s="25" customFormat="1" x14ac:dyDescent="0.2">
      <c r="A322" s="19"/>
      <c r="B322" s="19"/>
      <c r="C322" s="19"/>
      <c r="D322" s="19"/>
      <c r="E322" s="19"/>
      <c r="F322" s="19" t="s">
        <v>329</v>
      </c>
      <c r="G322" s="19"/>
      <c r="H322" s="21"/>
      <c r="I322" s="21"/>
      <c r="J322" s="21"/>
      <c r="K322" s="21"/>
      <c r="L322" s="21"/>
      <c r="M322" s="21"/>
      <c r="N322" s="21"/>
      <c r="O322" s="21"/>
      <c r="P322" s="21"/>
      <c r="Q322" s="21"/>
      <c r="R322" s="21"/>
      <c r="S322" s="22"/>
      <c r="T322" s="22"/>
      <c r="U322" s="22"/>
      <c r="V322" s="22"/>
      <c r="W322" s="22"/>
      <c r="X322" s="22"/>
      <c r="Y322" s="26"/>
      <c r="AA322" s="26"/>
      <c r="AC322" s="21"/>
      <c r="AD322" s="21"/>
      <c r="AE322" s="21"/>
      <c r="AG322" s="21"/>
      <c r="AH322" s="21"/>
      <c r="AI322" s="21"/>
      <c r="AK322" s="21"/>
      <c r="AL322" s="21"/>
      <c r="AM322" s="21"/>
    </row>
    <row r="323" spans="1:39" s="25" customFormat="1" x14ac:dyDescent="0.2">
      <c r="A323" s="19"/>
      <c r="B323" s="19"/>
      <c r="C323" s="19"/>
      <c r="D323" s="19"/>
      <c r="E323" s="19"/>
      <c r="F323" s="19"/>
      <c r="G323" s="19" t="s">
        <v>330</v>
      </c>
      <c r="H323" s="21"/>
      <c r="I323" s="21">
        <v>4852</v>
      </c>
      <c r="J323" s="21"/>
      <c r="K323" s="21">
        <v>5435</v>
      </c>
      <c r="L323" s="21"/>
      <c r="M323" s="21">
        <v>4616</v>
      </c>
      <c r="N323" s="21"/>
      <c r="O323" s="21">
        <v>1351</v>
      </c>
      <c r="P323" s="21"/>
      <c r="Q323" s="21">
        <v>7479.39</v>
      </c>
      <c r="R323" s="21"/>
      <c r="S323" s="28">
        <v>7193.68</v>
      </c>
      <c r="T323" s="28"/>
      <c r="U323" s="28"/>
      <c r="V323" s="28"/>
      <c r="W323" s="28">
        <v>4011.85</v>
      </c>
      <c r="X323" s="22"/>
      <c r="Y323" s="26">
        <v>7600</v>
      </c>
      <c r="AA323" s="26">
        <v>10177.969999999999</v>
      </c>
      <c r="AC323" s="21">
        <f t="shared" ref="AC323:AC326" si="361">AVERAGE(K323:S323)</f>
        <v>5215.0140000000001</v>
      </c>
      <c r="AD323" s="21">
        <f>MAX(K323:S323)</f>
        <v>7479.39</v>
      </c>
      <c r="AE323" s="21">
        <f>MIN(K323:S323)</f>
        <v>1351</v>
      </c>
      <c r="AG323" s="21">
        <f t="shared" ref="AG323:AG326" si="362">+W323-AC323</f>
        <v>-1203.1640000000002</v>
      </c>
      <c r="AH323" s="21">
        <f t="shared" ref="AH323:AH326" si="363">+W323-AD323</f>
        <v>-3467.5400000000004</v>
      </c>
      <c r="AI323" s="21">
        <f t="shared" ref="AI323:AI326" si="364">+W323-AE323</f>
        <v>2660.85</v>
      </c>
      <c r="AK323" s="21">
        <f t="shared" ref="AK323:AK326" si="365">+Y323-AC323</f>
        <v>2384.9859999999999</v>
      </c>
      <c r="AL323" s="21">
        <f t="shared" ref="AL323:AL326" si="366">+Y323-AD323</f>
        <v>120.60999999999967</v>
      </c>
      <c r="AM323" s="21">
        <f t="shared" ref="AM323:AM326" si="367">+Y323-AE323</f>
        <v>6249</v>
      </c>
    </row>
    <row r="324" spans="1:39" s="25" customFormat="1" x14ac:dyDescent="0.2">
      <c r="A324" s="19"/>
      <c r="B324" s="19"/>
      <c r="C324" s="19"/>
      <c r="D324" s="19"/>
      <c r="E324" s="19"/>
      <c r="F324" s="19"/>
      <c r="G324" s="19" t="s">
        <v>331</v>
      </c>
      <c r="H324" s="21"/>
      <c r="I324" s="21"/>
      <c r="J324" s="21"/>
      <c r="K324" s="21"/>
      <c r="L324" s="21"/>
      <c r="M324" s="21"/>
      <c r="N324" s="21"/>
      <c r="O324" s="21"/>
      <c r="P324" s="21"/>
      <c r="Q324" s="21">
        <v>300</v>
      </c>
      <c r="R324" s="21"/>
      <c r="S324" s="28">
        <v>200</v>
      </c>
      <c r="T324" s="28"/>
      <c r="U324" s="28"/>
      <c r="V324" s="28"/>
      <c r="W324" s="28">
        <v>250</v>
      </c>
      <c r="X324" s="22"/>
      <c r="Y324" s="26">
        <v>400</v>
      </c>
      <c r="AA324" s="26">
        <v>850</v>
      </c>
      <c r="AC324" s="21">
        <f t="shared" si="361"/>
        <v>250</v>
      </c>
      <c r="AD324" s="21">
        <f>MAX(K324:S324)</f>
        <v>300</v>
      </c>
      <c r="AE324" s="21">
        <f>MIN(K324:S324)</f>
        <v>200</v>
      </c>
      <c r="AG324" s="21">
        <f t="shared" si="362"/>
        <v>0</v>
      </c>
      <c r="AH324" s="21">
        <f t="shared" si="363"/>
        <v>-50</v>
      </c>
      <c r="AI324" s="21">
        <f t="shared" si="364"/>
        <v>50</v>
      </c>
      <c r="AK324" s="21">
        <f t="shared" si="365"/>
        <v>150</v>
      </c>
      <c r="AL324" s="21">
        <f t="shared" si="366"/>
        <v>100</v>
      </c>
      <c r="AM324" s="21">
        <f t="shared" si="367"/>
        <v>200</v>
      </c>
    </row>
    <row r="325" spans="1:39" s="25" customFormat="1" x14ac:dyDescent="0.2">
      <c r="A325" s="19"/>
      <c r="B325" s="19"/>
      <c r="C325" s="19"/>
      <c r="D325" s="19"/>
      <c r="E325" s="19"/>
      <c r="F325" s="19"/>
      <c r="G325" s="19" t="s">
        <v>332</v>
      </c>
      <c r="H325" s="21"/>
      <c r="I325" s="21">
        <v>3384</v>
      </c>
      <c r="J325" s="21"/>
      <c r="K325" s="21">
        <v>4346</v>
      </c>
      <c r="L325" s="21"/>
      <c r="M325" s="21">
        <v>3176</v>
      </c>
      <c r="N325" s="21"/>
      <c r="O325" s="21"/>
      <c r="P325" s="21"/>
      <c r="Q325" s="21">
        <v>1157.33</v>
      </c>
      <c r="R325" s="21"/>
      <c r="S325" s="28">
        <v>3135.99</v>
      </c>
      <c r="T325" s="28"/>
      <c r="U325" s="28"/>
      <c r="V325" s="28"/>
      <c r="W325" s="28">
        <v>5133.5</v>
      </c>
      <c r="X325" s="22"/>
      <c r="Y325" s="26">
        <v>4000</v>
      </c>
      <c r="AA325" s="26">
        <v>3000</v>
      </c>
      <c r="AC325" s="21">
        <f t="shared" si="361"/>
        <v>2953.83</v>
      </c>
      <c r="AD325" s="21">
        <f>MAX(K325:S325)</f>
        <v>4346</v>
      </c>
      <c r="AE325" s="21">
        <f>MIN(K325:S325)</f>
        <v>1157.33</v>
      </c>
      <c r="AG325" s="21">
        <f t="shared" si="362"/>
        <v>2179.67</v>
      </c>
      <c r="AH325" s="21">
        <f t="shared" si="363"/>
        <v>787.5</v>
      </c>
      <c r="AI325" s="21">
        <f t="shared" si="364"/>
        <v>3976.17</v>
      </c>
      <c r="AK325" s="21">
        <f t="shared" si="365"/>
        <v>1046.17</v>
      </c>
      <c r="AL325" s="21">
        <f t="shared" si="366"/>
        <v>-346</v>
      </c>
      <c r="AM325" s="21">
        <f t="shared" si="367"/>
        <v>2842.67</v>
      </c>
    </row>
    <row r="326" spans="1:39" s="25" customFormat="1" ht="12" thickBot="1" x14ac:dyDescent="0.25">
      <c r="A326" s="19"/>
      <c r="B326" s="19"/>
      <c r="C326" s="19"/>
      <c r="D326" s="19"/>
      <c r="E326" s="19"/>
      <c r="F326" s="19"/>
      <c r="G326" s="19" t="s">
        <v>333</v>
      </c>
      <c r="H326" s="21"/>
      <c r="I326" s="33"/>
      <c r="J326" s="21"/>
      <c r="K326" s="33"/>
      <c r="L326" s="21"/>
      <c r="M326" s="33"/>
      <c r="N326" s="21"/>
      <c r="O326" s="33"/>
      <c r="P326" s="33"/>
      <c r="Q326" s="33">
        <v>5</v>
      </c>
      <c r="R326" s="33"/>
      <c r="S326" s="34"/>
      <c r="T326" s="28"/>
      <c r="U326" s="28"/>
      <c r="V326" s="22"/>
      <c r="W326" s="34"/>
      <c r="X326" s="22"/>
      <c r="Y326" s="35">
        <v>0</v>
      </c>
      <c r="AA326" s="35"/>
      <c r="AC326" s="33">
        <f t="shared" si="361"/>
        <v>5</v>
      </c>
      <c r="AD326" s="33">
        <f>MAX(K326:S326)</f>
        <v>5</v>
      </c>
      <c r="AE326" s="33">
        <f>MIN(K326:S326)</f>
        <v>5</v>
      </c>
      <c r="AG326" s="33">
        <f t="shared" si="362"/>
        <v>-5</v>
      </c>
      <c r="AH326" s="33">
        <f t="shared" si="363"/>
        <v>-5</v>
      </c>
      <c r="AI326" s="33">
        <f t="shared" si="364"/>
        <v>-5</v>
      </c>
      <c r="AK326" s="33">
        <f t="shared" si="365"/>
        <v>-5</v>
      </c>
      <c r="AL326" s="33">
        <f t="shared" si="366"/>
        <v>-5</v>
      </c>
      <c r="AM326" s="33">
        <f t="shared" si="367"/>
        <v>-5</v>
      </c>
    </row>
    <row r="327" spans="1:39" s="25" customFormat="1" x14ac:dyDescent="0.2">
      <c r="A327" s="19"/>
      <c r="B327" s="19"/>
      <c r="C327" s="19"/>
      <c r="D327" s="19"/>
      <c r="E327" s="19"/>
      <c r="F327" s="19" t="s">
        <v>334</v>
      </c>
      <c r="G327" s="19"/>
      <c r="H327" s="21"/>
      <c r="I327" s="21">
        <f>ROUND(SUM(I322:I326),5)</f>
        <v>8236</v>
      </c>
      <c r="J327" s="21"/>
      <c r="K327" s="21">
        <f>ROUND(SUM(K322:K326),5)</f>
        <v>9781</v>
      </c>
      <c r="L327" s="21"/>
      <c r="M327" s="21">
        <f>ROUND(SUM(M322:M326),5)</f>
        <v>7792</v>
      </c>
      <c r="N327" s="21"/>
      <c r="O327" s="21">
        <f>ROUND(SUM(O322:O326),5)</f>
        <v>1351</v>
      </c>
      <c r="P327" s="21"/>
      <c r="Q327" s="21">
        <f>ROUND(SUM(Q322:Q326),5)</f>
        <v>8941.7199999999993</v>
      </c>
      <c r="R327" s="21"/>
      <c r="S327" s="22">
        <f>ROUND(SUM(S322:S326),5)</f>
        <v>10529.67</v>
      </c>
      <c r="T327" s="22"/>
      <c r="U327" s="22"/>
      <c r="V327" s="22"/>
      <c r="W327" s="22">
        <f>ROUND(SUM(W322:W326),5)</f>
        <v>9395.35</v>
      </c>
      <c r="X327" s="22"/>
      <c r="Y327" s="26">
        <f>ROUND(SUM(Y322:Y326),5)</f>
        <v>12000</v>
      </c>
      <c r="AA327" s="26">
        <f>ROUND(SUM(AA322:AA326),5)</f>
        <v>14027.97</v>
      </c>
      <c r="AC327" s="21">
        <f t="shared" ref="AC327:AE327" si="368">ROUND(SUM(AC322:AC326),5)</f>
        <v>8423.8439999999991</v>
      </c>
      <c r="AD327" s="21">
        <f t="shared" si="368"/>
        <v>12130.39</v>
      </c>
      <c r="AE327" s="21">
        <f t="shared" si="368"/>
        <v>2713.33</v>
      </c>
      <c r="AG327" s="21">
        <f t="shared" ref="AG327:AI327" si="369">ROUND(SUM(AG322:AG326),5)</f>
        <v>971.50599999999997</v>
      </c>
      <c r="AH327" s="21">
        <f t="shared" si="369"/>
        <v>-2735.04</v>
      </c>
      <c r="AI327" s="21">
        <f t="shared" si="369"/>
        <v>6682.02</v>
      </c>
      <c r="AK327" s="21">
        <f t="shared" ref="AK327:AM327" si="370">ROUND(SUM(AK322:AK326),5)</f>
        <v>3576.1559999999999</v>
      </c>
      <c r="AL327" s="21">
        <f t="shared" si="370"/>
        <v>-130.38999999999999</v>
      </c>
      <c r="AM327" s="21">
        <f t="shared" si="370"/>
        <v>9286.67</v>
      </c>
    </row>
    <row r="328" spans="1:39" s="25" customFormat="1" x14ac:dyDescent="0.2">
      <c r="A328" s="19"/>
      <c r="B328" s="19"/>
      <c r="C328" s="19"/>
      <c r="D328" s="19"/>
      <c r="E328" s="19"/>
      <c r="F328" s="19" t="s">
        <v>335</v>
      </c>
      <c r="G328" s="19"/>
      <c r="H328" s="21"/>
      <c r="I328" s="21"/>
      <c r="J328" s="21"/>
      <c r="K328" s="21"/>
      <c r="L328" s="21"/>
      <c r="M328" s="21"/>
      <c r="N328" s="21"/>
      <c r="O328" s="21"/>
      <c r="P328" s="21"/>
      <c r="Q328" s="21"/>
      <c r="R328" s="21"/>
      <c r="S328" s="22"/>
      <c r="T328" s="22"/>
      <c r="U328" s="22"/>
      <c r="V328" s="22"/>
      <c r="W328" s="22"/>
      <c r="X328" s="22"/>
      <c r="Y328" s="26"/>
      <c r="AA328" s="26"/>
      <c r="AC328" s="21"/>
      <c r="AD328" s="21"/>
      <c r="AE328" s="21"/>
      <c r="AG328" s="21"/>
      <c r="AH328" s="21"/>
      <c r="AI328" s="21"/>
      <c r="AK328" s="21"/>
      <c r="AL328" s="21"/>
      <c r="AM328" s="21"/>
    </row>
    <row r="329" spans="1:39" s="25" customFormat="1" x14ac:dyDescent="0.2">
      <c r="A329" s="19"/>
      <c r="B329" s="19"/>
      <c r="C329" s="19"/>
      <c r="D329" s="19"/>
      <c r="E329" s="19"/>
      <c r="F329" s="19"/>
      <c r="G329" s="19" t="s">
        <v>336</v>
      </c>
      <c r="H329" s="21"/>
      <c r="I329" s="21">
        <v>601</v>
      </c>
      <c r="J329" s="21"/>
      <c r="K329" s="21">
        <v>605</v>
      </c>
      <c r="L329" s="21"/>
      <c r="M329" s="21">
        <v>250</v>
      </c>
      <c r="N329" s="21"/>
      <c r="O329" s="21">
        <v>600.14</v>
      </c>
      <c r="P329" s="21"/>
      <c r="Q329" s="27">
        <v>459.69</v>
      </c>
      <c r="R329" s="27"/>
      <c r="S329" s="22">
        <v>552.71</v>
      </c>
      <c r="T329" s="22"/>
      <c r="U329" s="22"/>
      <c r="V329" s="22"/>
      <c r="W329" s="22">
        <v>386.32</v>
      </c>
      <c r="X329" s="22"/>
      <c r="Y329" s="26">
        <v>500</v>
      </c>
      <c r="AA329" s="26">
        <v>500</v>
      </c>
      <c r="AC329" s="21">
        <f t="shared" ref="AC329:AC330" si="371">AVERAGE(K329:S329)</f>
        <v>493.50799999999998</v>
      </c>
      <c r="AD329" s="21">
        <f>MAX(K329:S329)</f>
        <v>605</v>
      </c>
      <c r="AE329" s="21">
        <f>MIN(K329:S329)</f>
        <v>250</v>
      </c>
      <c r="AG329" s="21">
        <f t="shared" ref="AG329:AG330" si="372">+W329-AC329</f>
        <v>-107.18799999999999</v>
      </c>
      <c r="AH329" s="21">
        <f t="shared" ref="AH329:AH330" si="373">+W329-AD329</f>
        <v>-218.68</v>
      </c>
      <c r="AI329" s="21">
        <f t="shared" ref="AI329:AI330" si="374">+W329-AE329</f>
        <v>136.32</v>
      </c>
      <c r="AK329" s="21">
        <f t="shared" ref="AK329:AK330" si="375">+Y329-AC329</f>
        <v>6.4920000000000186</v>
      </c>
      <c r="AL329" s="21">
        <f t="shared" ref="AL329:AL330" si="376">+Y329-AD329</f>
        <v>-105</v>
      </c>
      <c r="AM329" s="21">
        <f t="shared" ref="AM329:AM330" si="377">+Y329-AE329</f>
        <v>250</v>
      </c>
    </row>
    <row r="330" spans="1:39" s="25" customFormat="1" ht="12" thickBot="1" x14ac:dyDescent="0.25">
      <c r="A330" s="19"/>
      <c r="B330" s="19"/>
      <c r="C330" s="19"/>
      <c r="D330" s="19"/>
      <c r="E330" s="19"/>
      <c r="F330" s="19"/>
      <c r="G330" s="19" t="s">
        <v>337</v>
      </c>
      <c r="H330" s="21"/>
      <c r="I330" s="33"/>
      <c r="J330" s="21"/>
      <c r="K330" s="33"/>
      <c r="L330" s="21"/>
      <c r="M330" s="33"/>
      <c r="N330" s="21"/>
      <c r="O330" s="33"/>
      <c r="P330" s="33"/>
      <c r="Q330" s="33"/>
      <c r="R330" s="33"/>
      <c r="S330" s="34">
        <v>3326.29</v>
      </c>
      <c r="T330" s="28"/>
      <c r="U330" s="28"/>
      <c r="V330" s="22"/>
      <c r="W330" s="34">
        <v>532.54999999999995</v>
      </c>
      <c r="X330" s="22"/>
      <c r="Y330" s="35"/>
      <c r="AA330" s="35">
        <v>750</v>
      </c>
      <c r="AC330" s="33">
        <f t="shared" si="371"/>
        <v>3326.29</v>
      </c>
      <c r="AD330" s="33">
        <f>MAX(K330:S330)</f>
        <v>3326.29</v>
      </c>
      <c r="AE330" s="33">
        <f>MIN(K330:S330)</f>
        <v>3326.29</v>
      </c>
      <c r="AG330" s="33">
        <f t="shared" si="372"/>
        <v>-2793.74</v>
      </c>
      <c r="AH330" s="33">
        <f t="shared" si="373"/>
        <v>-2793.74</v>
      </c>
      <c r="AI330" s="33">
        <f t="shared" si="374"/>
        <v>-2793.74</v>
      </c>
      <c r="AK330" s="33">
        <f t="shared" si="375"/>
        <v>-3326.29</v>
      </c>
      <c r="AL330" s="33">
        <f t="shared" si="376"/>
        <v>-3326.29</v>
      </c>
      <c r="AM330" s="33">
        <f t="shared" si="377"/>
        <v>-3326.29</v>
      </c>
    </row>
    <row r="331" spans="1:39" s="25" customFormat="1" x14ac:dyDescent="0.2">
      <c r="A331" s="19"/>
      <c r="B331" s="19"/>
      <c r="C331" s="19"/>
      <c r="D331" s="19"/>
      <c r="E331" s="19"/>
      <c r="F331" s="19" t="s">
        <v>338</v>
      </c>
      <c r="G331" s="19"/>
      <c r="H331" s="21"/>
      <c r="I331" s="21">
        <f>ROUND(SUM(I328:I330),5)</f>
        <v>601</v>
      </c>
      <c r="J331" s="21"/>
      <c r="K331" s="21">
        <f>ROUND(SUM(K328:K330),5)</f>
        <v>605</v>
      </c>
      <c r="L331" s="21"/>
      <c r="M331" s="21">
        <f>ROUND(SUM(M328:M330),5)</f>
        <v>250</v>
      </c>
      <c r="N331" s="21"/>
      <c r="O331" s="21">
        <f>ROUND(SUM(O328:O330),5)</f>
        <v>600.14</v>
      </c>
      <c r="P331" s="21"/>
      <c r="Q331" s="21">
        <f>ROUND(SUM(Q328:Q330),5)</f>
        <v>459.69</v>
      </c>
      <c r="R331" s="21"/>
      <c r="S331" s="22">
        <f>ROUND(SUM(S328:S330),5)</f>
        <v>3879</v>
      </c>
      <c r="T331" s="22"/>
      <c r="U331" s="22"/>
      <c r="V331" s="22"/>
      <c r="W331" s="22">
        <f>ROUND(SUM(W328:W330),5)</f>
        <v>918.87</v>
      </c>
      <c r="X331" s="22"/>
      <c r="Y331" s="26">
        <f>ROUND(SUM(Y328:Y330),5)</f>
        <v>500</v>
      </c>
      <c r="AA331" s="26">
        <f>ROUND(SUM(AA328:AA330),5)</f>
        <v>1250</v>
      </c>
      <c r="AC331" s="21">
        <f t="shared" ref="AC331:AE331" si="378">ROUND(SUM(AC328:AC330),5)</f>
        <v>3819.7979999999998</v>
      </c>
      <c r="AD331" s="21">
        <f t="shared" si="378"/>
        <v>3931.29</v>
      </c>
      <c r="AE331" s="21">
        <f t="shared" si="378"/>
        <v>3576.29</v>
      </c>
      <c r="AG331" s="21">
        <f t="shared" ref="AG331:AI331" si="379">ROUND(SUM(AG328:AG330),5)</f>
        <v>-2900.9279999999999</v>
      </c>
      <c r="AH331" s="21">
        <f t="shared" si="379"/>
        <v>-3012.42</v>
      </c>
      <c r="AI331" s="21">
        <f t="shared" si="379"/>
        <v>-2657.42</v>
      </c>
      <c r="AK331" s="21">
        <f t="shared" ref="AK331:AM331" si="380">ROUND(SUM(AK328:AK330),5)</f>
        <v>-3319.7979999999998</v>
      </c>
      <c r="AL331" s="21">
        <f t="shared" si="380"/>
        <v>-3431.29</v>
      </c>
      <c r="AM331" s="21">
        <f t="shared" si="380"/>
        <v>-3076.29</v>
      </c>
    </row>
    <row r="332" spans="1:39" s="25" customFormat="1" x14ac:dyDescent="0.2">
      <c r="A332" s="19"/>
      <c r="B332" s="19"/>
      <c r="C332" s="19"/>
      <c r="D332" s="19"/>
      <c r="E332" s="19"/>
      <c r="F332" s="19" t="s">
        <v>339</v>
      </c>
      <c r="G332" s="19"/>
      <c r="H332" s="21"/>
      <c r="I332" s="21"/>
      <c r="J332" s="21"/>
      <c r="K332" s="21"/>
      <c r="L332" s="21"/>
      <c r="M332" s="21"/>
      <c r="N332" s="21"/>
      <c r="O332" s="21"/>
      <c r="P332" s="21"/>
      <c r="Q332" s="21"/>
      <c r="R332" s="21"/>
      <c r="S332" s="22"/>
      <c r="T332" s="22"/>
      <c r="U332" s="22"/>
      <c r="V332" s="22"/>
      <c r="W332" s="22"/>
      <c r="X332" s="22"/>
      <c r="Y332" s="26"/>
      <c r="AA332" s="26"/>
      <c r="AC332" s="21"/>
      <c r="AD332" s="21"/>
      <c r="AE332" s="21"/>
      <c r="AG332" s="21"/>
      <c r="AH332" s="21"/>
      <c r="AI332" s="21"/>
      <c r="AK332" s="21"/>
      <c r="AL332" s="21"/>
      <c r="AM332" s="21"/>
    </row>
    <row r="333" spans="1:39" s="25" customFormat="1" x14ac:dyDescent="0.2">
      <c r="A333" s="19"/>
      <c r="B333" s="19"/>
      <c r="C333" s="19"/>
      <c r="D333" s="19"/>
      <c r="E333" s="19"/>
      <c r="F333" s="19"/>
      <c r="G333" s="19" t="s">
        <v>340</v>
      </c>
      <c r="H333" s="21"/>
      <c r="I333" s="21"/>
      <c r="J333" s="21"/>
      <c r="K333" s="21"/>
      <c r="L333" s="21"/>
      <c r="M333" s="21"/>
      <c r="N333" s="21"/>
      <c r="O333" s="21"/>
      <c r="P333" s="21"/>
      <c r="Q333" s="21">
        <v>0</v>
      </c>
      <c r="R333" s="21"/>
      <c r="S333" s="22">
        <v>0</v>
      </c>
      <c r="T333" s="22"/>
      <c r="U333" s="22"/>
      <c r="V333" s="22"/>
      <c r="W333" s="22"/>
      <c r="X333" s="22"/>
      <c r="Y333" s="26">
        <v>0</v>
      </c>
      <c r="AA333" s="26"/>
      <c r="AC333" s="21">
        <f t="shared" ref="AC333:AC340" si="381">AVERAGE(K333:S333)</f>
        <v>0</v>
      </c>
      <c r="AD333" s="21">
        <f t="shared" ref="AD333:AD340" si="382">MAX(K333:S333)</f>
        <v>0</v>
      </c>
      <c r="AE333" s="21">
        <f t="shared" ref="AE333:AE340" si="383">MIN(K333:S333)</f>
        <v>0</v>
      </c>
      <c r="AG333" s="21">
        <f t="shared" ref="AG333:AG340" si="384">+W333-AC333</f>
        <v>0</v>
      </c>
      <c r="AH333" s="21">
        <f t="shared" ref="AH333:AH340" si="385">+W333-AD333</f>
        <v>0</v>
      </c>
      <c r="AI333" s="21">
        <f t="shared" ref="AI333:AI340" si="386">+W333-AE333</f>
        <v>0</v>
      </c>
      <c r="AK333" s="21">
        <f t="shared" ref="AK333:AK340" si="387">+Y333-AC333</f>
        <v>0</v>
      </c>
      <c r="AL333" s="21">
        <f t="shared" ref="AL333:AL340" si="388">+Y333-AD333</f>
        <v>0</v>
      </c>
      <c r="AM333" s="21">
        <f t="shared" ref="AM333:AM340" si="389">+Y333-AE333</f>
        <v>0</v>
      </c>
    </row>
    <row r="334" spans="1:39" s="25" customFormat="1" x14ac:dyDescent="0.2">
      <c r="A334" s="19"/>
      <c r="B334" s="19"/>
      <c r="C334" s="19"/>
      <c r="D334" s="19"/>
      <c r="E334" s="19"/>
      <c r="F334" s="19"/>
      <c r="G334" s="19" t="s">
        <v>341</v>
      </c>
      <c r="H334" s="21"/>
      <c r="I334" s="21">
        <f>11824+1103</f>
        <v>12927</v>
      </c>
      <c r="J334" s="21"/>
      <c r="K334" s="21">
        <f>10231+1476</f>
        <v>11707</v>
      </c>
      <c r="L334" s="21"/>
      <c r="M334" s="21">
        <f>9631+1668</f>
        <v>11299</v>
      </c>
      <c r="N334" s="21"/>
      <c r="O334" s="21">
        <v>7142.87</v>
      </c>
      <c r="P334" s="21"/>
      <c r="Q334" s="21">
        <v>6664.1</v>
      </c>
      <c r="R334" s="21"/>
      <c r="S334" s="22">
        <v>675.08</v>
      </c>
      <c r="T334" s="22"/>
      <c r="U334" s="22"/>
      <c r="V334" s="22"/>
      <c r="W334" s="22">
        <v>574</v>
      </c>
      <c r="X334" s="22"/>
      <c r="Y334" s="26">
        <v>990</v>
      </c>
      <c r="AA334" s="26">
        <v>1000</v>
      </c>
      <c r="AC334" s="21">
        <f t="shared" si="381"/>
        <v>7497.6100000000006</v>
      </c>
      <c r="AD334" s="21">
        <f t="shared" si="382"/>
        <v>11707</v>
      </c>
      <c r="AE334" s="21">
        <f t="shared" si="383"/>
        <v>675.08</v>
      </c>
      <c r="AG334" s="21">
        <f t="shared" si="384"/>
        <v>-6923.6100000000006</v>
      </c>
      <c r="AH334" s="21">
        <f t="shared" si="385"/>
        <v>-11133</v>
      </c>
      <c r="AI334" s="21">
        <f t="shared" si="386"/>
        <v>-101.08000000000004</v>
      </c>
      <c r="AK334" s="21">
        <f t="shared" si="387"/>
        <v>-6507.6100000000006</v>
      </c>
      <c r="AL334" s="21">
        <f t="shared" si="388"/>
        <v>-10717</v>
      </c>
      <c r="AM334" s="21">
        <f t="shared" si="389"/>
        <v>314.91999999999996</v>
      </c>
    </row>
    <row r="335" spans="1:39" s="25" customFormat="1" x14ac:dyDescent="0.2">
      <c r="A335" s="19"/>
      <c r="B335" s="19"/>
      <c r="C335" s="19"/>
      <c r="D335" s="19"/>
      <c r="E335" s="19"/>
      <c r="F335" s="19"/>
      <c r="G335" s="19" t="s">
        <v>342</v>
      </c>
      <c r="H335" s="21"/>
      <c r="I335" s="21"/>
      <c r="J335" s="21"/>
      <c r="K335" s="21"/>
      <c r="L335" s="21"/>
      <c r="M335" s="21"/>
      <c r="N335" s="21"/>
      <c r="O335" s="21"/>
      <c r="P335" s="21"/>
      <c r="Q335" s="21">
        <v>690</v>
      </c>
      <c r="R335" s="21"/>
      <c r="S335" s="22"/>
      <c r="T335" s="22"/>
      <c r="U335" s="22"/>
      <c r="V335" s="22"/>
      <c r="W335" s="22">
        <v>9920</v>
      </c>
      <c r="X335" s="22"/>
      <c r="Y335" s="26">
        <v>1040</v>
      </c>
      <c r="AA335" s="26">
        <v>10000</v>
      </c>
      <c r="AC335" s="21">
        <f t="shared" si="381"/>
        <v>690</v>
      </c>
      <c r="AD335" s="21">
        <f t="shared" si="382"/>
        <v>690</v>
      </c>
      <c r="AE335" s="21">
        <f t="shared" si="383"/>
        <v>690</v>
      </c>
      <c r="AG335" s="21">
        <f t="shared" si="384"/>
        <v>9230</v>
      </c>
      <c r="AH335" s="21">
        <f t="shared" si="385"/>
        <v>9230</v>
      </c>
      <c r="AI335" s="21">
        <f t="shared" si="386"/>
        <v>9230</v>
      </c>
      <c r="AK335" s="21">
        <f t="shared" si="387"/>
        <v>350</v>
      </c>
      <c r="AL335" s="21">
        <f t="shared" si="388"/>
        <v>350</v>
      </c>
      <c r="AM335" s="21">
        <f t="shared" si="389"/>
        <v>350</v>
      </c>
    </row>
    <row r="336" spans="1:39" s="25" customFormat="1" x14ac:dyDescent="0.2">
      <c r="A336" s="19"/>
      <c r="B336" s="19"/>
      <c r="C336" s="19"/>
      <c r="D336" s="19"/>
      <c r="E336" s="19"/>
      <c r="F336" s="19"/>
      <c r="G336" s="19" t="s">
        <v>343</v>
      </c>
      <c r="H336" s="21"/>
      <c r="I336" s="21">
        <f>1365+277</f>
        <v>1642</v>
      </c>
      <c r="J336" s="21"/>
      <c r="K336" s="21">
        <f>2699+261</f>
        <v>2960</v>
      </c>
      <c r="L336" s="21"/>
      <c r="M336" s="21">
        <f>1478+66</f>
        <v>1544</v>
      </c>
      <c r="N336" s="21"/>
      <c r="O336" s="21">
        <v>1255.3599999999999</v>
      </c>
      <c r="P336" s="21"/>
      <c r="Q336" s="21">
        <v>4032.43</v>
      </c>
      <c r="R336" s="21"/>
      <c r="S336" s="22">
        <v>2747.18</v>
      </c>
      <c r="T336" s="22"/>
      <c r="U336" s="22"/>
      <c r="V336" s="22"/>
      <c r="W336" s="22">
        <v>841.77</v>
      </c>
      <c r="X336" s="22"/>
      <c r="Y336" s="26">
        <v>2755</v>
      </c>
      <c r="AA336" s="26">
        <v>1500</v>
      </c>
      <c r="AC336" s="21">
        <f t="shared" si="381"/>
        <v>2507.7939999999999</v>
      </c>
      <c r="AD336" s="21">
        <f t="shared" si="382"/>
        <v>4032.43</v>
      </c>
      <c r="AE336" s="21">
        <f t="shared" si="383"/>
        <v>1255.3599999999999</v>
      </c>
      <c r="AG336" s="21">
        <f t="shared" si="384"/>
        <v>-1666.0239999999999</v>
      </c>
      <c r="AH336" s="21">
        <f t="shared" si="385"/>
        <v>-3190.66</v>
      </c>
      <c r="AI336" s="21">
        <f t="shared" si="386"/>
        <v>-413.58999999999992</v>
      </c>
      <c r="AK336" s="21">
        <f t="shared" si="387"/>
        <v>247.20600000000013</v>
      </c>
      <c r="AL336" s="21">
        <f t="shared" si="388"/>
        <v>-1277.4299999999998</v>
      </c>
      <c r="AM336" s="21">
        <f t="shared" si="389"/>
        <v>1499.64</v>
      </c>
    </row>
    <row r="337" spans="1:39" s="25" customFormat="1" x14ac:dyDescent="0.2">
      <c r="A337" s="19"/>
      <c r="B337" s="19"/>
      <c r="C337" s="19"/>
      <c r="D337" s="19"/>
      <c r="E337" s="19"/>
      <c r="F337" s="19"/>
      <c r="G337" s="19" t="s">
        <v>344</v>
      </c>
      <c r="H337" s="21"/>
      <c r="I337" s="21"/>
      <c r="J337" s="21"/>
      <c r="K337" s="21"/>
      <c r="L337" s="21"/>
      <c r="M337" s="21"/>
      <c r="N337" s="21"/>
      <c r="O337" s="21"/>
      <c r="P337" s="21"/>
      <c r="Q337" s="21">
        <v>365.71</v>
      </c>
      <c r="R337" s="21"/>
      <c r="S337" s="22">
        <v>975</v>
      </c>
      <c r="T337" s="22"/>
      <c r="U337" s="22"/>
      <c r="V337" s="22"/>
      <c r="W337" s="22">
        <v>910.6</v>
      </c>
      <c r="X337" s="22"/>
      <c r="Y337" s="26">
        <v>975</v>
      </c>
      <c r="AA337" s="26">
        <v>1000</v>
      </c>
      <c r="AC337" s="21">
        <f t="shared" si="381"/>
        <v>670.35500000000002</v>
      </c>
      <c r="AD337" s="21">
        <f t="shared" si="382"/>
        <v>975</v>
      </c>
      <c r="AE337" s="21">
        <f t="shared" si="383"/>
        <v>365.71</v>
      </c>
      <c r="AG337" s="21">
        <f t="shared" si="384"/>
        <v>240.245</v>
      </c>
      <c r="AH337" s="21">
        <f t="shared" si="385"/>
        <v>-64.399999999999977</v>
      </c>
      <c r="AI337" s="21">
        <f t="shared" si="386"/>
        <v>544.8900000000001</v>
      </c>
      <c r="AK337" s="21">
        <f t="shared" si="387"/>
        <v>304.64499999999998</v>
      </c>
      <c r="AL337" s="21">
        <f t="shared" si="388"/>
        <v>0</v>
      </c>
      <c r="AM337" s="21">
        <f t="shared" si="389"/>
        <v>609.29</v>
      </c>
    </row>
    <row r="338" spans="1:39" s="25" customFormat="1" x14ac:dyDescent="0.2">
      <c r="A338" s="19"/>
      <c r="B338" s="19"/>
      <c r="C338" s="19"/>
      <c r="D338" s="19"/>
      <c r="E338" s="19"/>
      <c r="F338" s="19"/>
      <c r="G338" s="19" t="s">
        <v>345</v>
      </c>
      <c r="H338" s="21"/>
      <c r="I338" s="21">
        <v>4855</v>
      </c>
      <c r="J338" s="21"/>
      <c r="K338" s="21">
        <v>612</v>
      </c>
      <c r="L338" s="21"/>
      <c r="M338" s="21">
        <v>1747</v>
      </c>
      <c r="N338" s="21"/>
      <c r="O338" s="21">
        <v>7454.81</v>
      </c>
      <c r="P338" s="21"/>
      <c r="Q338" s="21">
        <v>90.76</v>
      </c>
      <c r="R338" s="21"/>
      <c r="S338" s="22">
        <v>1179.73</v>
      </c>
      <c r="T338" s="22"/>
      <c r="U338" s="22"/>
      <c r="V338" s="22"/>
      <c r="W338" s="22">
        <v>7102.37</v>
      </c>
      <c r="X338" s="22"/>
      <c r="Y338" s="26">
        <v>3800</v>
      </c>
      <c r="AA338" s="26">
        <v>1800</v>
      </c>
      <c r="AC338" s="21">
        <f t="shared" si="381"/>
        <v>2216.86</v>
      </c>
      <c r="AD338" s="21">
        <f t="shared" si="382"/>
        <v>7454.81</v>
      </c>
      <c r="AE338" s="21">
        <f t="shared" si="383"/>
        <v>90.76</v>
      </c>
      <c r="AG338" s="21">
        <f t="shared" si="384"/>
        <v>4885.51</v>
      </c>
      <c r="AH338" s="21">
        <f t="shared" si="385"/>
        <v>-352.44000000000051</v>
      </c>
      <c r="AI338" s="21">
        <f t="shared" si="386"/>
        <v>7011.61</v>
      </c>
      <c r="AK338" s="21">
        <f t="shared" si="387"/>
        <v>1583.1399999999999</v>
      </c>
      <c r="AL338" s="21">
        <f t="shared" si="388"/>
        <v>-3654.8100000000004</v>
      </c>
      <c r="AM338" s="21">
        <f t="shared" si="389"/>
        <v>3709.24</v>
      </c>
    </row>
    <row r="339" spans="1:39" s="25" customFormat="1" x14ac:dyDescent="0.2">
      <c r="A339" s="19"/>
      <c r="B339" s="19"/>
      <c r="C339" s="19"/>
      <c r="D339" s="19"/>
      <c r="E339" s="19"/>
      <c r="F339" s="19"/>
      <c r="G339" s="19" t="s">
        <v>346</v>
      </c>
      <c r="H339" s="21"/>
      <c r="I339" s="21"/>
      <c r="J339" s="21"/>
      <c r="K339" s="21"/>
      <c r="L339" s="21"/>
      <c r="M339" s="21"/>
      <c r="N339" s="21"/>
      <c r="O339" s="21"/>
      <c r="P339" s="21"/>
      <c r="Q339" s="21">
        <v>9231.86</v>
      </c>
      <c r="R339" s="21"/>
      <c r="S339" s="22">
        <v>13408.02</v>
      </c>
      <c r="T339" s="22"/>
      <c r="U339" s="22"/>
      <c r="V339" s="22"/>
      <c r="W339" s="22">
        <v>3089.09</v>
      </c>
      <c r="X339" s="22"/>
      <c r="Y339" s="26">
        <v>10000</v>
      </c>
      <c r="AA339" s="26">
        <v>10000</v>
      </c>
      <c r="AC339" s="21">
        <f t="shared" si="381"/>
        <v>11319.94</v>
      </c>
      <c r="AD339" s="21">
        <f t="shared" si="382"/>
        <v>13408.02</v>
      </c>
      <c r="AE339" s="21">
        <f t="shared" si="383"/>
        <v>9231.86</v>
      </c>
      <c r="AG339" s="21">
        <f t="shared" si="384"/>
        <v>-8230.85</v>
      </c>
      <c r="AH339" s="21">
        <f t="shared" si="385"/>
        <v>-10318.93</v>
      </c>
      <c r="AI339" s="21">
        <f t="shared" si="386"/>
        <v>-6142.77</v>
      </c>
      <c r="AK339" s="21">
        <f t="shared" si="387"/>
        <v>-1319.9400000000005</v>
      </c>
      <c r="AL339" s="21">
        <f t="shared" si="388"/>
        <v>-3408.0200000000004</v>
      </c>
      <c r="AM339" s="21">
        <f t="shared" si="389"/>
        <v>768.13999999999942</v>
      </c>
    </row>
    <row r="340" spans="1:39" s="25" customFormat="1" ht="12" thickBot="1" x14ac:dyDescent="0.25">
      <c r="A340" s="19"/>
      <c r="B340" s="19"/>
      <c r="C340" s="19"/>
      <c r="D340" s="19"/>
      <c r="E340" s="19"/>
      <c r="F340" s="19"/>
      <c r="G340" s="19" t="s">
        <v>347</v>
      </c>
      <c r="H340" s="21"/>
      <c r="I340" s="27">
        <v>1691</v>
      </c>
      <c r="J340" s="21"/>
      <c r="K340" s="27">
        <v>5324</v>
      </c>
      <c r="L340" s="21"/>
      <c r="M340" s="27">
        <v>12069</v>
      </c>
      <c r="N340" s="21"/>
      <c r="O340" s="27">
        <v>17138.28</v>
      </c>
      <c r="P340" s="27"/>
      <c r="Q340" s="21">
        <v>4924.07</v>
      </c>
      <c r="R340" s="21"/>
      <c r="S340" s="22">
        <v>4154.1099999999997</v>
      </c>
      <c r="T340" s="28"/>
      <c r="U340" s="28"/>
      <c r="V340" s="22"/>
      <c r="W340" s="22">
        <v>5869.27</v>
      </c>
      <c r="X340" s="22"/>
      <c r="Y340" s="29">
        <v>2000</v>
      </c>
      <c r="AA340" s="29">
        <v>5000</v>
      </c>
      <c r="AC340" s="27">
        <f t="shared" si="381"/>
        <v>8721.8919999999998</v>
      </c>
      <c r="AD340" s="27">
        <f t="shared" si="382"/>
        <v>17138.28</v>
      </c>
      <c r="AE340" s="27">
        <f t="shared" si="383"/>
        <v>4154.1099999999997</v>
      </c>
      <c r="AG340" s="27">
        <f t="shared" si="384"/>
        <v>-2852.6219999999994</v>
      </c>
      <c r="AH340" s="27">
        <f t="shared" si="385"/>
        <v>-11269.009999999998</v>
      </c>
      <c r="AI340" s="27">
        <f t="shared" si="386"/>
        <v>1715.1600000000008</v>
      </c>
      <c r="AK340" s="27">
        <f t="shared" si="387"/>
        <v>-6721.8919999999998</v>
      </c>
      <c r="AL340" s="27">
        <f t="shared" si="388"/>
        <v>-15138.279999999999</v>
      </c>
      <c r="AM340" s="27">
        <f t="shared" si="389"/>
        <v>-2154.1099999999997</v>
      </c>
    </row>
    <row r="341" spans="1:39" s="25" customFormat="1" ht="12" thickBot="1" x14ac:dyDescent="0.25">
      <c r="A341" s="19"/>
      <c r="B341" s="19"/>
      <c r="C341" s="19"/>
      <c r="D341" s="19"/>
      <c r="E341" s="19"/>
      <c r="F341" s="19" t="s">
        <v>348</v>
      </c>
      <c r="G341" s="19"/>
      <c r="H341" s="21"/>
      <c r="I341" s="37">
        <f>ROUND(SUM(I332:I340),5)</f>
        <v>21115</v>
      </c>
      <c r="J341" s="21"/>
      <c r="K341" s="37">
        <f>ROUND(SUM(K332:K340),5)</f>
        <v>20603</v>
      </c>
      <c r="L341" s="21"/>
      <c r="M341" s="37">
        <f>ROUND(SUM(M332:M340),5)</f>
        <v>26659</v>
      </c>
      <c r="N341" s="21"/>
      <c r="O341" s="37">
        <f>ROUND(SUM(O332:O340),5)</f>
        <v>32991.32</v>
      </c>
      <c r="P341" s="37"/>
      <c r="Q341" s="37">
        <f>ROUND(SUM(Q332:Q340),5)</f>
        <v>25998.93</v>
      </c>
      <c r="R341" s="37"/>
      <c r="S341" s="38">
        <f>ROUND(SUM(S332:S340),5)</f>
        <v>23139.119999999999</v>
      </c>
      <c r="T341" s="28"/>
      <c r="U341" s="28"/>
      <c r="V341" s="22"/>
      <c r="W341" s="38">
        <f>ROUND(SUM(W332:W340),5)</f>
        <v>28307.1</v>
      </c>
      <c r="X341" s="22"/>
      <c r="Y341" s="39">
        <f>ROUND(SUM(Y332:Y340),5)</f>
        <v>21560</v>
      </c>
      <c r="AA341" s="39">
        <f>ROUND(SUM(AA332:AA340),5)</f>
        <v>30300</v>
      </c>
      <c r="AC341" s="37">
        <f>ROUND(SUM(AC332:AC340),5)</f>
        <v>33624.451000000001</v>
      </c>
      <c r="AD341" s="37">
        <f>ROUND(SUM(AD332:AD340),5)</f>
        <v>55405.54</v>
      </c>
      <c r="AE341" s="37">
        <f>ROUND(SUM(AE332:AE340),5)</f>
        <v>16462.88</v>
      </c>
      <c r="AG341" s="37">
        <f>ROUND(SUM(AG332:AG340),5)</f>
        <v>-5317.3509999999997</v>
      </c>
      <c r="AH341" s="37">
        <f>ROUND(SUM(AH332:AH340),5)</f>
        <v>-27098.44</v>
      </c>
      <c r="AI341" s="37">
        <f>ROUND(SUM(AI332:AI340),5)</f>
        <v>11844.22</v>
      </c>
      <c r="AK341" s="37">
        <f>ROUND(SUM(AK332:AK340),5)</f>
        <v>-12064.450999999999</v>
      </c>
      <c r="AL341" s="37">
        <f>ROUND(SUM(AL332:AL340),5)</f>
        <v>-33845.54</v>
      </c>
      <c r="AM341" s="37">
        <f>ROUND(SUM(AM332:AM340),5)</f>
        <v>5097.12</v>
      </c>
    </row>
    <row r="342" spans="1:39" s="25" customFormat="1" ht="12" thickBot="1" x14ac:dyDescent="0.25">
      <c r="A342" s="19"/>
      <c r="B342" s="19"/>
      <c r="C342" s="19"/>
      <c r="D342" s="19"/>
      <c r="E342" s="19" t="s">
        <v>349</v>
      </c>
      <c r="F342" s="19"/>
      <c r="G342" s="19"/>
      <c r="H342" s="21"/>
      <c r="I342" s="37">
        <f>ROUND(I314+I321+I327+I331+I341,5)</f>
        <v>340647</v>
      </c>
      <c r="J342" s="21"/>
      <c r="K342" s="37">
        <f>ROUND(K314+K321+K327+K331+K341,5)</f>
        <v>368057</v>
      </c>
      <c r="L342" s="21"/>
      <c r="M342" s="37">
        <f>ROUND(M314+M321+M327+M331+M341,5)</f>
        <v>337350</v>
      </c>
      <c r="N342" s="21"/>
      <c r="O342" s="37">
        <f>ROUND(O314+O321+O327+O331+O341,5)</f>
        <v>372206.45</v>
      </c>
      <c r="P342" s="37"/>
      <c r="Q342" s="37">
        <f>ROUND(Q314+Q321+Q327+Q331+Q341,5)</f>
        <v>384336.68</v>
      </c>
      <c r="R342" s="37"/>
      <c r="S342" s="38">
        <f>ROUND(S314+S321+S327+S331+S341,5)</f>
        <v>418180.44</v>
      </c>
      <c r="T342" s="28"/>
      <c r="U342" s="28"/>
      <c r="V342" s="22"/>
      <c r="W342" s="38">
        <f>ROUND(W314+W321+W327+W331+W341,5)</f>
        <v>420322.36</v>
      </c>
      <c r="X342" s="22"/>
      <c r="Y342" s="39">
        <f>ROUND(Y314+Y321+Y327+Y331+Y341,5)</f>
        <v>432364</v>
      </c>
      <c r="AA342" s="39">
        <f>ROUND(AA314+AA321+AA327+AA331+AA341,5)</f>
        <v>450396.97</v>
      </c>
      <c r="AC342" s="37">
        <f>ROUND(AC314+AC321+AC327+AC331+AC341,5)</f>
        <v>393275.26500000001</v>
      </c>
      <c r="AD342" s="37">
        <f>ROUND(AD314+AD321+AD327+AD331+AD341,5)</f>
        <v>458311.4</v>
      </c>
      <c r="AE342" s="37">
        <f>ROUND(AE314+AE321+AE327+AE331+AE341,5)</f>
        <v>323617.76</v>
      </c>
      <c r="AG342" s="37">
        <f>ROUND(AG314+AG321+AG327+AG331+AG341,5)</f>
        <v>27047.095000000001</v>
      </c>
      <c r="AH342" s="37">
        <f>ROUND(AH314+AH321+AH327+AH331+AH341,5)</f>
        <v>-37989.040000000001</v>
      </c>
      <c r="AI342" s="37">
        <f>ROUND(AI314+AI321+AI327+AI331+AI341,5)</f>
        <v>96704.6</v>
      </c>
      <c r="AK342" s="37">
        <f>ROUND(AK314+AK321+AK327+AK331+AK341,5)</f>
        <v>39088.735000000001</v>
      </c>
      <c r="AL342" s="37">
        <f>ROUND(AL314+AL321+AL327+AL331+AL341,5)</f>
        <v>-25947.4</v>
      </c>
      <c r="AM342" s="37">
        <f>ROUND(AM314+AM321+AM327+AM331+AM341,5)</f>
        <v>108746.24000000001</v>
      </c>
    </row>
    <row r="343" spans="1:39" s="25" customFormat="1" ht="12" thickBot="1" x14ac:dyDescent="0.25">
      <c r="A343" s="19"/>
      <c r="B343" s="19"/>
      <c r="C343" s="19"/>
      <c r="D343" s="19" t="s">
        <v>350</v>
      </c>
      <c r="E343" s="19"/>
      <c r="F343" s="19"/>
      <c r="G343" s="19"/>
      <c r="H343" s="21"/>
      <c r="I343" s="37">
        <f>ROUND(I86+I128+I162+I210+I235+I273+I294+I312+I342,5)</f>
        <v>2872489</v>
      </c>
      <c r="J343" s="21"/>
      <c r="K343" s="37">
        <f>ROUND(K86+K128+K162+K210+K235+K273+K294+K312+K342,5)</f>
        <v>3067668</v>
      </c>
      <c r="L343" s="21"/>
      <c r="M343" s="37">
        <f>ROUND(M86+M128+M162+M210+M235+M273+M294+M312+M342,5)</f>
        <v>3296432</v>
      </c>
      <c r="N343" s="21"/>
      <c r="O343" s="37">
        <f>ROUND(O86+O128+O162+O210+O235+O273+O294+O312+O342,5)</f>
        <v>3575082.26</v>
      </c>
      <c r="P343" s="37"/>
      <c r="Q343" s="37">
        <f>ROUND(Q86+Q128+Q162+Q210+Q235+Q273+Q294+Q312+Q342,5)</f>
        <v>3424790.42</v>
      </c>
      <c r="R343" s="37"/>
      <c r="S343" s="38">
        <f>ROUND(S86+S128+S162+S210+S235+S273+S294+S312+S342,5)</f>
        <v>3707545.75</v>
      </c>
      <c r="T343" s="28"/>
      <c r="U343" s="28"/>
      <c r="V343" s="22"/>
      <c r="W343" s="38">
        <f>ROUND(W86+W128+W162+W210+W235+W273+W294+W312+W342,5)</f>
        <v>2508443.61</v>
      </c>
      <c r="X343" s="22"/>
      <c r="Y343" s="38">
        <f>ROUND(Y86+Y128+Y162+Y210+Y235+Y273+Y294+Y312+Y342,5)</f>
        <v>3703708</v>
      </c>
      <c r="AA343" s="38">
        <f>ROUND(AA86+AA128+AA162+AA210+AA235+AA273+AA294+AA312+AA342,5)</f>
        <v>3690823.0421000002</v>
      </c>
      <c r="AC343" s="37">
        <f>ROUND(AC86+AC128+AC162+AC210+AC235+AC273+AC294+AC312+AC342,5)</f>
        <v>3585253.9454999999</v>
      </c>
      <c r="AD343" s="37">
        <f>ROUND(AD86+AD128+AD162+AD210+AD235+AD273+AD294+AD312+AD342,5)</f>
        <v>5120685.67</v>
      </c>
      <c r="AE343" s="37">
        <f>ROUND(AE86+AE128+AE162+AE210+AE235+AE273+AE294+AE312+AE342,5)</f>
        <v>2632114.86</v>
      </c>
      <c r="AG343" s="37">
        <f>ROUND(AG86+AG128+AG162+AG210+AG235+AG273+AG294+AG312+AG342,5)</f>
        <v>-1113456.3355</v>
      </c>
      <c r="AH343" s="37">
        <f>ROUND(AH86+AH128+AH162+AH210+AH235+AH273+AH294+AH312+AH342,5)</f>
        <v>-2632333.83</v>
      </c>
      <c r="AI343" s="37">
        <f>ROUND(AI86+AI128+AI162+AI210+AI235+AI273+AI294+AI312+AI342,5)</f>
        <v>-128597.84</v>
      </c>
      <c r="AK343" s="37">
        <f>ROUND(AK86+AK128+AK162+AK210+AK235+AK273+AK294+AK312+AK342,5)</f>
        <v>-36223.832170000001</v>
      </c>
      <c r="AL343" s="37">
        <f>ROUND(AL86+AL128+AL162+AL210+AL235+AL273+AL294+AL312+AL342,5)</f>
        <v>-1459870.96</v>
      </c>
      <c r="AM343" s="37">
        <f>ROUND(AM86+AM128+AM162+AM210+AM235+AM273+AM294+AM312+AM342,5)</f>
        <v>1065242.1399999999</v>
      </c>
    </row>
    <row r="344" spans="1:39" s="25" customFormat="1" ht="12" thickBot="1" x14ac:dyDescent="0.25">
      <c r="A344" s="19"/>
      <c r="B344" s="19" t="s">
        <v>351</v>
      </c>
      <c r="C344" s="19"/>
      <c r="D344" s="19"/>
      <c r="E344" s="19"/>
      <c r="F344" s="19"/>
      <c r="G344" s="19"/>
      <c r="H344" s="21"/>
      <c r="I344" s="37">
        <f>ROUND(I3+I84-I343,5)</f>
        <v>242451</v>
      </c>
      <c r="J344" s="21"/>
      <c r="K344" s="37">
        <f>ROUND(K3+K84-K343,5)</f>
        <v>275628</v>
      </c>
      <c r="L344" s="21"/>
      <c r="M344" s="37">
        <f>ROUND(M3+M84-M343,5)</f>
        <v>289186</v>
      </c>
      <c r="N344" s="21"/>
      <c r="O344" s="37">
        <f>ROUND(O3+O84-O343,5)</f>
        <v>276977.42</v>
      </c>
      <c r="P344" s="37"/>
      <c r="Q344" s="37">
        <f>ROUND(Q3+Q84-Q343,5)</f>
        <v>664983.30000000005</v>
      </c>
      <c r="R344" s="37"/>
      <c r="S344" s="38">
        <f>ROUND(S3+S84-S343,5)</f>
        <v>-112059.69</v>
      </c>
      <c r="T344" s="28"/>
      <c r="U344" s="28"/>
      <c r="V344" s="22"/>
      <c r="W344" s="38">
        <f>ROUND(W3+W84-W343,5)</f>
        <v>640203.25</v>
      </c>
      <c r="X344" s="22"/>
      <c r="Y344" s="39">
        <f>ROUND(Y3+Y84-Y343,5)</f>
        <v>342</v>
      </c>
      <c r="AA344" s="39">
        <f>ROUND(AA3+AA84-AA343,5)</f>
        <v>34726.957900000001</v>
      </c>
      <c r="AC344" s="37">
        <f>ROUND(AC3+AC84-AC343,5)</f>
        <v>234836.82250000001</v>
      </c>
      <c r="AD344" s="37">
        <f>ROUND(AD3+AD84-AD343,5)</f>
        <v>-724367.18</v>
      </c>
      <c r="AE344" s="37">
        <f>ROUND(AE3+AE84-AE343,5)</f>
        <v>336079.37</v>
      </c>
      <c r="AG344" s="37">
        <f>ROUND(AG3+AG84-AG343,5)</f>
        <v>390274.85450000002</v>
      </c>
      <c r="AH344" s="37">
        <f>ROUND(AH3+AH84-AH343,5)</f>
        <v>1250784.28</v>
      </c>
      <c r="AI344" s="37">
        <f>ROUND(AI3+AI84-AI343,5)</f>
        <v>166267.41</v>
      </c>
      <c r="AK344" s="37">
        <f>ROUND(AK3+AK84-AK343,5)</f>
        <v>-181276.16782999999</v>
      </c>
      <c r="AL344" s="37">
        <f>ROUND(AL3+AL84-AL343,5)</f>
        <v>1159870.96</v>
      </c>
      <c r="AM344" s="37">
        <f>ROUND(AM3+AM84-AM343,5)</f>
        <v>-1185242.1399999999</v>
      </c>
    </row>
    <row r="345" spans="1:39" s="21" customFormat="1" ht="12" thickBot="1" x14ac:dyDescent="0.25">
      <c r="A345" s="19" t="s">
        <v>352</v>
      </c>
      <c r="B345" s="19"/>
      <c r="C345" s="19"/>
      <c r="D345" s="19"/>
      <c r="E345" s="19"/>
      <c r="F345" s="19"/>
      <c r="G345" s="19"/>
      <c r="I345" s="50">
        <f>I344</f>
        <v>242451</v>
      </c>
      <c r="K345" s="50">
        <f>K344</f>
        <v>275628</v>
      </c>
      <c r="M345" s="50">
        <f>M344</f>
        <v>289186</v>
      </c>
      <c r="O345" s="50">
        <f>O344</f>
        <v>276977.42</v>
      </c>
      <c r="P345" s="50"/>
      <c r="Q345" s="50">
        <f>Q344</f>
        <v>664983.30000000005</v>
      </c>
      <c r="R345" s="50"/>
      <c r="S345" s="51">
        <f>S344</f>
        <v>-112059.69</v>
      </c>
      <c r="T345" s="28"/>
      <c r="U345" s="28"/>
      <c r="V345" s="22"/>
      <c r="W345" s="51">
        <f>W344</f>
        <v>640203.25</v>
      </c>
      <c r="X345" s="22"/>
      <c r="Y345" s="52">
        <f>Y344</f>
        <v>342</v>
      </c>
      <c r="AA345" s="52">
        <f>AA344</f>
        <v>34726.957900000001</v>
      </c>
      <c r="AC345" s="50">
        <f t="shared" ref="AC345:AE345" si="390">AC344</f>
        <v>234836.82250000001</v>
      </c>
      <c r="AD345" s="50">
        <f t="shared" si="390"/>
        <v>-724367.18</v>
      </c>
      <c r="AE345" s="50">
        <f t="shared" si="390"/>
        <v>336079.37</v>
      </c>
      <c r="AG345" s="50">
        <f t="shared" ref="AG345:AI345" si="391">AG344</f>
        <v>390274.85450000002</v>
      </c>
      <c r="AH345" s="50">
        <f t="shared" si="391"/>
        <v>1250784.28</v>
      </c>
      <c r="AI345" s="50">
        <f t="shared" si="391"/>
        <v>166267.41</v>
      </c>
      <c r="AK345" s="50">
        <f t="shared" ref="AK345:AM345" si="392">AK344</f>
        <v>-181276.16782999999</v>
      </c>
      <c r="AL345" s="50">
        <f t="shared" si="392"/>
        <v>1159870.96</v>
      </c>
      <c r="AM345" s="50">
        <f t="shared" si="392"/>
        <v>-1185242.1399999999</v>
      </c>
    </row>
    <row r="346" spans="1:39" s="25" customFormat="1" ht="12" thickTop="1" x14ac:dyDescent="0.2">
      <c r="A346" s="53"/>
      <c r="B346" s="53"/>
      <c r="C346" s="53"/>
      <c r="D346" s="53"/>
      <c r="E346" s="53"/>
      <c r="F346" s="53"/>
      <c r="G346" s="53"/>
      <c r="J346" s="21"/>
      <c r="S346" s="22"/>
      <c r="T346" s="22"/>
      <c r="U346" s="22"/>
      <c r="V346" s="22"/>
      <c r="W346" s="22"/>
      <c r="X346" s="22"/>
      <c r="Y346" s="22"/>
      <c r="AA346" s="22"/>
    </row>
    <row r="347" spans="1:39" x14ac:dyDescent="0.2">
      <c r="G347" s="53" t="s">
        <v>155</v>
      </c>
      <c r="Y347" s="55"/>
      <c r="AA347" s="55"/>
    </row>
    <row r="348" spans="1:39" x14ac:dyDescent="0.2">
      <c r="G348" s="7"/>
      <c r="Y348" s="55"/>
      <c r="AA348" s="55"/>
    </row>
    <row r="349" spans="1:39" x14ac:dyDescent="0.2">
      <c r="Y349" s="55"/>
      <c r="AA349" s="55"/>
    </row>
    <row r="350" spans="1:39" x14ac:dyDescent="0.2">
      <c r="Y350" s="55"/>
      <c r="AA350" s="55"/>
    </row>
  </sheetData>
  <mergeCells count="8">
    <mergeCell ref="AL1:AL2"/>
    <mergeCell ref="AM1:AM2"/>
    <mergeCell ref="H1:X1"/>
    <mergeCell ref="AC1:AC2"/>
    <mergeCell ref="AG1:AG2"/>
    <mergeCell ref="AH1:AH2"/>
    <mergeCell ref="AI1:AI2"/>
    <mergeCell ref="AK1:AK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 Raise</vt:lpstr>
      <vt:lpstr>4% Raise</vt:lpstr>
      <vt:lpstr>'2% Raise'!Print_Titles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Sheena Gossett</dc:creator>
  <cp:lastModifiedBy>Ashleigh Hudson</cp:lastModifiedBy>
  <cp:lastPrinted>2021-02-04T18:39:53Z</cp:lastPrinted>
  <dcterms:created xsi:type="dcterms:W3CDTF">2020-12-29T14:55:20Z</dcterms:created>
  <dcterms:modified xsi:type="dcterms:W3CDTF">2021-02-05T16:14:07Z</dcterms:modified>
</cp:coreProperties>
</file>