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C:\Users\ahudson\Documents\"/>
    </mc:Choice>
  </mc:AlternateContent>
  <xr:revisionPtr revIDLastSave="0" documentId="8_{078853D4-FB97-4A68-9A7B-79D45BBDB7DB}" xr6:coauthVersionLast="45" xr6:coauthVersionMax="45" xr10:uidLastSave="{00000000-0000-0000-0000-000000000000}"/>
  <bookViews>
    <workbookView xWindow="-120" yWindow="480" windowWidth="21840" windowHeight="13140" xr2:uid="{BCE68B46-EE1B-4B6A-BE4C-6956875A099C}"/>
  </bookViews>
  <sheets>
    <sheet name="2% Raise" sheetId="1" r:id="rId1"/>
  </sheets>
  <definedNames>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_xlnm.Print_Area" localSheetId="0">'2% Raise'!$A$1:$AA$349</definedName>
    <definedName name="_xlnm.Print_Titles" localSheetId="0">'2% Raise'!$A:$G,'2% Raise'!$1:$2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W256" i="1" l="1"/>
  <c r="AA147" i="1"/>
  <c r="W76" i="1" l="1"/>
  <c r="W92" i="1"/>
  <c r="AA323" i="1" l="1"/>
  <c r="AA182" i="1"/>
  <c r="AA171" i="1"/>
  <c r="AA142" i="1"/>
  <c r="AA143" i="1" s="1"/>
  <c r="AC137" i="1"/>
  <c r="AD137" i="1"/>
  <c r="AA144" i="1" l="1"/>
  <c r="AA320" i="1" l="1"/>
  <c r="AA251" i="1"/>
  <c r="AA186" i="1"/>
  <c r="W114" i="1" l="1"/>
  <c r="W112" i="1"/>
  <c r="W111" i="1"/>
  <c r="AA217" i="1" l="1"/>
  <c r="AA345" i="1" l="1"/>
  <c r="Y345" i="1"/>
  <c r="W345" i="1"/>
  <c r="S345" i="1"/>
  <c r="Q345" i="1"/>
  <c r="O345" i="1"/>
  <c r="AE344" i="1"/>
  <c r="AM344" i="1" s="1"/>
  <c r="AD344" i="1"/>
  <c r="AL344" i="1" s="1"/>
  <c r="AC344" i="1"/>
  <c r="AK344" i="1" s="1"/>
  <c r="AE343" i="1"/>
  <c r="AM343" i="1" s="1"/>
  <c r="AD343" i="1"/>
  <c r="AL343" i="1" s="1"/>
  <c r="AC343" i="1"/>
  <c r="AK343" i="1" s="1"/>
  <c r="AE342" i="1"/>
  <c r="AI342" i="1" s="1"/>
  <c r="AD342" i="1"/>
  <c r="AL342" i="1" s="1"/>
  <c r="AC342" i="1"/>
  <c r="AK342" i="1" s="1"/>
  <c r="AE341" i="1"/>
  <c r="AM341" i="1" s="1"/>
  <c r="AD341" i="1"/>
  <c r="AL341" i="1" s="1"/>
  <c r="AC341" i="1"/>
  <c r="AG341" i="1" s="1"/>
  <c r="M340" i="1"/>
  <c r="K340" i="1"/>
  <c r="I340" i="1"/>
  <c r="AE339" i="1"/>
  <c r="AM339" i="1" s="1"/>
  <c r="AD339" i="1"/>
  <c r="AH339" i="1" s="1"/>
  <c r="AC339" i="1"/>
  <c r="AK339" i="1" s="1"/>
  <c r="M337" i="1"/>
  <c r="K337" i="1"/>
  <c r="I337" i="1"/>
  <c r="AE336" i="1"/>
  <c r="AD336" i="1"/>
  <c r="AL336" i="1" s="1"/>
  <c r="AC336" i="1"/>
  <c r="AK336" i="1" s="1"/>
  <c r="AA334" i="1"/>
  <c r="Y334" i="1"/>
  <c r="W334" i="1"/>
  <c r="S334" i="1"/>
  <c r="Q334" i="1"/>
  <c r="O334" i="1"/>
  <c r="M334" i="1"/>
  <c r="K334" i="1"/>
  <c r="I334" i="1"/>
  <c r="AE333" i="1"/>
  <c r="AM333" i="1" s="1"/>
  <c r="AD333" i="1"/>
  <c r="AH333" i="1" s="1"/>
  <c r="AC333" i="1"/>
  <c r="AE332" i="1"/>
  <c r="AD332" i="1"/>
  <c r="AL332" i="1" s="1"/>
  <c r="AC332" i="1"/>
  <c r="AK332" i="1" s="1"/>
  <c r="AA330" i="1"/>
  <c r="Y330" i="1"/>
  <c r="W330" i="1"/>
  <c r="S330" i="1"/>
  <c r="Q330" i="1"/>
  <c r="O330" i="1"/>
  <c r="M330" i="1"/>
  <c r="K330" i="1"/>
  <c r="I330" i="1"/>
  <c r="AE329" i="1"/>
  <c r="AM329" i="1" s="1"/>
  <c r="AD329" i="1"/>
  <c r="AH329" i="1" s="1"/>
  <c r="AC329" i="1"/>
  <c r="AK329" i="1" s="1"/>
  <c r="AH328" i="1"/>
  <c r="AE328" i="1"/>
  <c r="AD328" i="1"/>
  <c r="AL328" i="1" s="1"/>
  <c r="AC328" i="1"/>
  <c r="AG328" i="1" s="1"/>
  <c r="AE327" i="1"/>
  <c r="AM327" i="1" s="1"/>
  <c r="AD327" i="1"/>
  <c r="AL327" i="1" s="1"/>
  <c r="AC327" i="1"/>
  <c r="AK327" i="1" s="1"/>
  <c r="AE326" i="1"/>
  <c r="AM326" i="1" s="1"/>
  <c r="AD326" i="1"/>
  <c r="AL326" i="1" s="1"/>
  <c r="AC326" i="1"/>
  <c r="AG326" i="1" s="1"/>
  <c r="Y324" i="1"/>
  <c r="W324" i="1"/>
  <c r="S324" i="1"/>
  <c r="Q324" i="1"/>
  <c r="O324" i="1"/>
  <c r="M324" i="1"/>
  <c r="K324" i="1"/>
  <c r="I324" i="1"/>
  <c r="AE323" i="1"/>
  <c r="AI323" i="1" s="1"/>
  <c r="AD323" i="1"/>
  <c r="AL323" i="1" s="1"/>
  <c r="AC323" i="1"/>
  <c r="AK323" i="1" s="1"/>
  <c r="AE322" i="1"/>
  <c r="AM322" i="1" s="1"/>
  <c r="AD322" i="1"/>
  <c r="AL322" i="1" s="1"/>
  <c r="AC322" i="1"/>
  <c r="AG322" i="1" s="1"/>
  <c r="AE321" i="1"/>
  <c r="AM321" i="1" s="1"/>
  <c r="AD321" i="1"/>
  <c r="AH321" i="1" s="1"/>
  <c r="AC321" i="1"/>
  <c r="AK321" i="1" s="1"/>
  <c r="AE320" i="1"/>
  <c r="AD320" i="1"/>
  <c r="AH320" i="1" s="1"/>
  <c r="AC320" i="1"/>
  <c r="AK320" i="1" s="1"/>
  <c r="AA324" i="1"/>
  <c r="AE319" i="1"/>
  <c r="AM319" i="1" s="1"/>
  <c r="AD319" i="1"/>
  <c r="AL319" i="1" s="1"/>
  <c r="AC319" i="1"/>
  <c r="AA314" i="1"/>
  <c r="Y314" i="1"/>
  <c r="W314" i="1"/>
  <c r="S314" i="1"/>
  <c r="Q314" i="1"/>
  <c r="O314" i="1"/>
  <c r="M314" i="1"/>
  <c r="K314" i="1"/>
  <c r="I314" i="1"/>
  <c r="AE313" i="1"/>
  <c r="AM313" i="1" s="1"/>
  <c r="AD313" i="1"/>
  <c r="AH313" i="1" s="1"/>
  <c r="AC313" i="1"/>
  <c r="AK313" i="1" s="1"/>
  <c r="AE312" i="1"/>
  <c r="AI312" i="1" s="1"/>
  <c r="AD312" i="1"/>
  <c r="AH312" i="1" s="1"/>
  <c r="AC312" i="1"/>
  <c r="AG312" i="1" s="1"/>
  <c r="AC311" i="1"/>
  <c r="AE310" i="1"/>
  <c r="AI310" i="1" s="1"/>
  <c r="AD310" i="1"/>
  <c r="AL310" i="1" s="1"/>
  <c r="AC310" i="1"/>
  <c r="AE309" i="1"/>
  <c r="AM309" i="1" s="1"/>
  <c r="AD309" i="1"/>
  <c r="AC309" i="1"/>
  <c r="AK309" i="1" s="1"/>
  <c r="AK308" i="1"/>
  <c r="AG308" i="1"/>
  <c r="AE308" i="1"/>
  <c r="AD308" i="1"/>
  <c r="AH308" i="1" s="1"/>
  <c r="Y306" i="1"/>
  <c r="W306" i="1"/>
  <c r="S306" i="1"/>
  <c r="Q306" i="1"/>
  <c r="O306" i="1"/>
  <c r="K306" i="1"/>
  <c r="K315" i="1" s="1"/>
  <c r="I306" i="1"/>
  <c r="AE305" i="1"/>
  <c r="AM305" i="1" s="1"/>
  <c r="AD305" i="1"/>
  <c r="AL305" i="1" s="1"/>
  <c r="AC305" i="1"/>
  <c r="AA305" i="1"/>
  <c r="AE304" i="1"/>
  <c r="AI304" i="1" s="1"/>
  <c r="AD304" i="1"/>
  <c r="AL304" i="1" s="1"/>
  <c r="AC304" i="1"/>
  <c r="AG304" i="1" s="1"/>
  <c r="AE303" i="1"/>
  <c r="AM303" i="1" s="1"/>
  <c r="AD303" i="1"/>
  <c r="AH303" i="1" s="1"/>
  <c r="AC303" i="1"/>
  <c r="AK303" i="1" s="1"/>
  <c r="AA303" i="1"/>
  <c r="AE302" i="1"/>
  <c r="AI302" i="1" s="1"/>
  <c r="AD302" i="1"/>
  <c r="AH302" i="1" s="1"/>
  <c r="AC302" i="1"/>
  <c r="AG302" i="1" s="1"/>
  <c r="M301" i="1"/>
  <c r="AA296" i="1"/>
  <c r="Y296" i="1"/>
  <c r="W296" i="1"/>
  <c r="S296" i="1"/>
  <c r="Q296" i="1"/>
  <c r="O296" i="1"/>
  <c r="M296" i="1"/>
  <c r="K296" i="1"/>
  <c r="I296" i="1"/>
  <c r="AE295" i="1"/>
  <c r="AM295" i="1" s="1"/>
  <c r="AD295" i="1"/>
  <c r="AC295" i="1"/>
  <c r="AK295" i="1" s="1"/>
  <c r="AC294" i="1"/>
  <c r="AE293" i="1"/>
  <c r="AM293" i="1" s="1"/>
  <c r="AD293" i="1"/>
  <c r="AH293" i="1" s="1"/>
  <c r="AC293" i="1"/>
  <c r="AK293" i="1" s="1"/>
  <c r="AE292" i="1"/>
  <c r="AI292" i="1" s="1"/>
  <c r="AD292" i="1"/>
  <c r="AL292" i="1" s="1"/>
  <c r="AC292" i="1"/>
  <c r="AG292" i="1" s="1"/>
  <c r="AC291" i="1"/>
  <c r="AE290" i="1"/>
  <c r="AD290" i="1"/>
  <c r="AL290" i="1" s="1"/>
  <c r="AC290" i="1"/>
  <c r="AK290" i="1" s="1"/>
  <c r="AA288" i="1"/>
  <c r="Y288" i="1"/>
  <c r="W288" i="1"/>
  <c r="S288" i="1"/>
  <c r="Q288" i="1"/>
  <c r="O288" i="1"/>
  <c r="M288" i="1"/>
  <c r="K288" i="1"/>
  <c r="I288" i="1"/>
  <c r="AE287" i="1"/>
  <c r="AE288" i="1" s="1"/>
  <c r="AD287" i="1"/>
  <c r="AH287" i="1" s="1"/>
  <c r="AH288" i="1" s="1"/>
  <c r="AC287" i="1"/>
  <c r="AC288" i="1" s="1"/>
  <c r="Y285" i="1"/>
  <c r="W285" i="1"/>
  <c r="S285" i="1"/>
  <c r="Q285" i="1"/>
  <c r="O285" i="1"/>
  <c r="M285" i="1"/>
  <c r="K285" i="1"/>
  <c r="I285" i="1"/>
  <c r="AE284" i="1"/>
  <c r="AI284" i="1" s="1"/>
  <c r="AD284" i="1"/>
  <c r="AL284" i="1" s="1"/>
  <c r="AC284" i="1"/>
  <c r="AG284" i="1" s="1"/>
  <c r="AC283" i="1"/>
  <c r="AE282" i="1"/>
  <c r="AI282" i="1" s="1"/>
  <c r="AD282" i="1"/>
  <c r="AH282" i="1" s="1"/>
  <c r="AC282" i="1"/>
  <c r="AK282" i="1" s="1"/>
  <c r="AE281" i="1"/>
  <c r="AI281" i="1" s="1"/>
  <c r="AD281" i="1"/>
  <c r="AL281" i="1" s="1"/>
  <c r="AC281" i="1"/>
  <c r="AG281" i="1" s="1"/>
  <c r="AA281" i="1"/>
  <c r="AE280" i="1"/>
  <c r="AD280" i="1"/>
  <c r="AL280" i="1" s="1"/>
  <c r="AC280" i="1"/>
  <c r="AA275" i="1"/>
  <c r="Y275" i="1"/>
  <c r="W275" i="1"/>
  <c r="S275" i="1"/>
  <c r="Q275" i="1"/>
  <c r="O275" i="1"/>
  <c r="M275" i="1"/>
  <c r="K275" i="1"/>
  <c r="I275" i="1"/>
  <c r="AE274" i="1"/>
  <c r="AM274" i="1" s="1"/>
  <c r="AD274" i="1"/>
  <c r="AH274" i="1" s="1"/>
  <c r="AC274" i="1"/>
  <c r="AK274" i="1" s="1"/>
  <c r="AE273" i="1"/>
  <c r="AI273" i="1" s="1"/>
  <c r="AD273" i="1"/>
  <c r="AL273" i="1" s="1"/>
  <c r="AC273" i="1"/>
  <c r="AG273" i="1" s="1"/>
  <c r="AE272" i="1"/>
  <c r="AM272" i="1" s="1"/>
  <c r="AD272" i="1"/>
  <c r="AH272" i="1" s="1"/>
  <c r="AC272" i="1"/>
  <c r="AK272" i="1" s="1"/>
  <c r="AE271" i="1"/>
  <c r="AD271" i="1"/>
  <c r="AL271" i="1" s="1"/>
  <c r="AC271" i="1"/>
  <c r="AG271" i="1" s="1"/>
  <c r="AE270" i="1"/>
  <c r="AM270" i="1" s="1"/>
  <c r="AD270" i="1"/>
  <c r="AL270" i="1" s="1"/>
  <c r="AC270" i="1"/>
  <c r="AK270" i="1" s="1"/>
  <c r="AE269" i="1"/>
  <c r="AI269" i="1" s="1"/>
  <c r="AD269" i="1"/>
  <c r="AL269" i="1" s="1"/>
  <c r="AC269" i="1"/>
  <c r="AG269" i="1" s="1"/>
  <c r="AC268" i="1"/>
  <c r="AE267" i="1"/>
  <c r="AD267" i="1"/>
  <c r="AL267" i="1" s="1"/>
  <c r="AC267" i="1"/>
  <c r="AG267" i="1" s="1"/>
  <c r="AA265" i="1"/>
  <c r="Y265" i="1"/>
  <c r="W265" i="1"/>
  <c r="S265" i="1"/>
  <c r="Q265" i="1"/>
  <c r="O265" i="1"/>
  <c r="M265" i="1"/>
  <c r="K265" i="1"/>
  <c r="I265" i="1"/>
  <c r="AE264" i="1"/>
  <c r="AM264" i="1" s="1"/>
  <c r="AD264" i="1"/>
  <c r="AH264" i="1" s="1"/>
  <c r="AC264" i="1"/>
  <c r="AK264" i="1" s="1"/>
  <c r="AE263" i="1"/>
  <c r="AI263" i="1" s="1"/>
  <c r="AD263" i="1"/>
  <c r="AH263" i="1" s="1"/>
  <c r="AC263" i="1"/>
  <c r="AG263" i="1" s="1"/>
  <c r="AE262" i="1"/>
  <c r="AM262" i="1" s="1"/>
  <c r="AD262" i="1"/>
  <c r="AH262" i="1" s="1"/>
  <c r="AC262" i="1"/>
  <c r="AK262" i="1" s="1"/>
  <c r="AA260" i="1"/>
  <c r="Y260" i="1"/>
  <c r="W260" i="1"/>
  <c r="S260" i="1"/>
  <c r="Q260" i="1"/>
  <c r="O260" i="1"/>
  <c r="M260" i="1"/>
  <c r="K260" i="1"/>
  <c r="I260" i="1"/>
  <c r="AE259" i="1"/>
  <c r="AI259" i="1" s="1"/>
  <c r="AD259" i="1"/>
  <c r="AL259" i="1" s="1"/>
  <c r="AC259" i="1"/>
  <c r="AG259" i="1" s="1"/>
  <c r="AE258" i="1"/>
  <c r="AM258" i="1" s="1"/>
  <c r="AD258" i="1"/>
  <c r="AH258" i="1" s="1"/>
  <c r="AC258" i="1"/>
  <c r="AG258" i="1" s="1"/>
  <c r="AE257" i="1"/>
  <c r="AI257" i="1" s="1"/>
  <c r="AD257" i="1"/>
  <c r="AL257" i="1" s="1"/>
  <c r="AC257" i="1"/>
  <c r="AE256" i="1"/>
  <c r="AD256" i="1"/>
  <c r="AL256" i="1" s="1"/>
  <c r="AC256" i="1"/>
  <c r="AK256" i="1" s="1"/>
  <c r="Y254" i="1"/>
  <c r="W254" i="1"/>
  <c r="S254" i="1"/>
  <c r="Q254" i="1"/>
  <c r="O254" i="1"/>
  <c r="M254" i="1"/>
  <c r="K254" i="1"/>
  <c r="I254" i="1"/>
  <c r="AE253" i="1"/>
  <c r="AI253" i="1" s="1"/>
  <c r="AD253" i="1"/>
  <c r="AL253" i="1" s="1"/>
  <c r="AC253" i="1"/>
  <c r="AA253" i="1"/>
  <c r="AE252" i="1"/>
  <c r="AD252" i="1"/>
  <c r="AL252" i="1" s="1"/>
  <c r="AC252" i="1"/>
  <c r="AK252" i="1" s="1"/>
  <c r="AE251" i="1"/>
  <c r="AM251" i="1" s="1"/>
  <c r="AD251" i="1"/>
  <c r="AH251" i="1" s="1"/>
  <c r="AC251" i="1"/>
  <c r="AK251" i="1" s="1"/>
  <c r="AE250" i="1"/>
  <c r="AM250" i="1" s="1"/>
  <c r="AD250" i="1"/>
  <c r="AL250" i="1" s="1"/>
  <c r="AC250" i="1"/>
  <c r="AK250" i="1" s="1"/>
  <c r="Y248" i="1"/>
  <c r="W248" i="1"/>
  <c r="S248" i="1"/>
  <c r="Q248" i="1"/>
  <c r="O248" i="1"/>
  <c r="M248" i="1"/>
  <c r="K248" i="1"/>
  <c r="I248" i="1"/>
  <c r="AE247" i="1"/>
  <c r="AI247" i="1" s="1"/>
  <c r="AD247" i="1"/>
  <c r="AC247" i="1"/>
  <c r="AG247" i="1" s="1"/>
  <c r="AA247" i="1"/>
  <c r="AC246" i="1"/>
  <c r="AG246" i="1" s="1"/>
  <c r="AE245" i="1"/>
  <c r="AI245" i="1" s="1"/>
  <c r="AD245" i="1"/>
  <c r="AC245" i="1"/>
  <c r="AG245" i="1" s="1"/>
  <c r="AE244" i="1"/>
  <c r="AM244" i="1" s="1"/>
  <c r="AD244" i="1"/>
  <c r="AH244" i="1" s="1"/>
  <c r="AC244" i="1"/>
  <c r="AK244" i="1" s="1"/>
  <c r="AE243" i="1"/>
  <c r="AD243" i="1"/>
  <c r="AH243" i="1" s="1"/>
  <c r="AC243" i="1"/>
  <c r="AA243" i="1"/>
  <c r="AE242" i="1"/>
  <c r="AD242" i="1"/>
  <c r="AL242" i="1" s="1"/>
  <c r="AC242" i="1"/>
  <c r="AA237" i="1"/>
  <c r="Y237" i="1"/>
  <c r="W237" i="1"/>
  <c r="S237" i="1"/>
  <c r="Q237" i="1"/>
  <c r="M237" i="1"/>
  <c r="K237" i="1"/>
  <c r="I237" i="1"/>
  <c r="AE236" i="1"/>
  <c r="AM236" i="1" s="1"/>
  <c r="AD236" i="1"/>
  <c r="AH236" i="1" s="1"/>
  <c r="AC236" i="1"/>
  <c r="AK236" i="1" s="1"/>
  <c r="AC235" i="1"/>
  <c r="O234" i="1"/>
  <c r="AC234" i="1" s="1"/>
  <c r="AK234" i="1" s="1"/>
  <c r="AE233" i="1"/>
  <c r="AM233" i="1" s="1"/>
  <c r="AD233" i="1"/>
  <c r="AH233" i="1" s="1"/>
  <c r="AC233" i="1"/>
  <c r="AK233" i="1" s="1"/>
  <c r="AA231" i="1"/>
  <c r="Y231" i="1"/>
  <c r="W231" i="1"/>
  <c r="S231" i="1"/>
  <c r="Q231" i="1"/>
  <c r="O231" i="1"/>
  <c r="M231" i="1"/>
  <c r="K231" i="1"/>
  <c r="I231" i="1"/>
  <c r="AE230" i="1"/>
  <c r="AI230" i="1" s="1"/>
  <c r="AD230" i="1"/>
  <c r="AC230" i="1"/>
  <c r="AG230" i="1" s="1"/>
  <c r="AE229" i="1"/>
  <c r="AM229" i="1" s="1"/>
  <c r="AD229" i="1"/>
  <c r="AL229" i="1" s="1"/>
  <c r="AC229" i="1"/>
  <c r="AK229" i="1" s="1"/>
  <c r="AA227" i="1"/>
  <c r="Y227" i="1"/>
  <c r="W227" i="1"/>
  <c r="S227" i="1"/>
  <c r="Q227" i="1"/>
  <c r="AE226" i="1"/>
  <c r="AI226" i="1" s="1"/>
  <c r="AD226" i="1"/>
  <c r="AL226" i="1" s="1"/>
  <c r="AC226" i="1"/>
  <c r="AG226" i="1" s="1"/>
  <c r="O225" i="1"/>
  <c r="O227" i="1" s="1"/>
  <c r="M225" i="1"/>
  <c r="M227" i="1" s="1"/>
  <c r="K225" i="1"/>
  <c r="K227" i="1" s="1"/>
  <c r="I225" i="1"/>
  <c r="I227" i="1" s="1"/>
  <c r="Y223" i="1"/>
  <c r="W223" i="1"/>
  <c r="S223" i="1"/>
  <c r="Q223" i="1"/>
  <c r="O223" i="1"/>
  <c r="M223" i="1"/>
  <c r="K223" i="1"/>
  <c r="I223" i="1"/>
  <c r="AE222" i="1"/>
  <c r="AI222" i="1" s="1"/>
  <c r="AD222" i="1"/>
  <c r="AL222" i="1" s="1"/>
  <c r="AC222" i="1"/>
  <c r="AC221" i="1"/>
  <c r="AG221" i="1" s="1"/>
  <c r="AE220" i="1"/>
  <c r="AD220" i="1"/>
  <c r="AL220" i="1" s="1"/>
  <c r="AC220" i="1"/>
  <c r="AE219" i="1"/>
  <c r="AI219" i="1" s="1"/>
  <c r="AD219" i="1"/>
  <c r="AL219" i="1" s="1"/>
  <c r="AC219" i="1"/>
  <c r="AK219" i="1" s="1"/>
  <c r="AE218" i="1"/>
  <c r="AM218" i="1" s="1"/>
  <c r="AD218" i="1"/>
  <c r="AH218" i="1" s="1"/>
  <c r="AC218" i="1"/>
  <c r="AK218" i="1" s="1"/>
  <c r="AA218" i="1"/>
  <c r="AE217" i="1"/>
  <c r="AM217" i="1" s="1"/>
  <c r="AD217" i="1"/>
  <c r="AL217" i="1" s="1"/>
  <c r="AC217" i="1"/>
  <c r="AA222" i="1"/>
  <c r="AA212" i="1"/>
  <c r="Y212" i="1"/>
  <c r="W212" i="1"/>
  <c r="S212" i="1"/>
  <c r="Q212" i="1"/>
  <c r="M212" i="1"/>
  <c r="K212" i="1"/>
  <c r="I212" i="1"/>
  <c r="AE211" i="1"/>
  <c r="AI211" i="1" s="1"/>
  <c r="AD211" i="1"/>
  <c r="AH211" i="1" s="1"/>
  <c r="AC211" i="1"/>
  <c r="AK211" i="1" s="1"/>
  <c r="AE210" i="1"/>
  <c r="AD210" i="1"/>
  <c r="AL210" i="1" s="1"/>
  <c r="AC210" i="1"/>
  <c r="AG210" i="1" s="1"/>
  <c r="O209" i="1"/>
  <c r="AE208" i="1"/>
  <c r="AM208" i="1" s="1"/>
  <c r="AD208" i="1"/>
  <c r="AH208" i="1" s="1"/>
  <c r="AC208" i="1"/>
  <c r="AK208" i="1" s="1"/>
  <c r="AE207" i="1"/>
  <c r="AI207" i="1" s="1"/>
  <c r="AD207" i="1"/>
  <c r="AL207" i="1" s="1"/>
  <c r="AC207" i="1"/>
  <c r="AG207" i="1" s="1"/>
  <c r="AE206" i="1"/>
  <c r="AM206" i="1" s="1"/>
  <c r="AD206" i="1"/>
  <c r="AC206" i="1"/>
  <c r="AG206" i="1" s="1"/>
  <c r="O205" i="1"/>
  <c r="AE204" i="1"/>
  <c r="AI204" i="1" s="1"/>
  <c r="AD204" i="1"/>
  <c r="AC204" i="1"/>
  <c r="AK204" i="1" s="1"/>
  <c r="AE203" i="1"/>
  <c r="AM203" i="1" s="1"/>
  <c r="AD203" i="1"/>
  <c r="AH203" i="1" s="1"/>
  <c r="AC203" i="1"/>
  <c r="AG203" i="1" s="1"/>
  <c r="AE202" i="1"/>
  <c r="AM202" i="1" s="1"/>
  <c r="AD202" i="1"/>
  <c r="AL202" i="1" s="1"/>
  <c r="AC202" i="1"/>
  <c r="AK202" i="1" s="1"/>
  <c r="AA200" i="1"/>
  <c r="Y200" i="1"/>
  <c r="W200" i="1"/>
  <c r="S200" i="1"/>
  <c r="Q200" i="1"/>
  <c r="O200" i="1"/>
  <c r="M200" i="1"/>
  <c r="K200" i="1"/>
  <c r="I200" i="1"/>
  <c r="AE199" i="1"/>
  <c r="AM199" i="1" s="1"/>
  <c r="AD199" i="1"/>
  <c r="AC199" i="1"/>
  <c r="AK199" i="1" s="1"/>
  <c r="AC198" i="1"/>
  <c r="AE197" i="1"/>
  <c r="AD197" i="1"/>
  <c r="AL197" i="1" s="1"/>
  <c r="AC197" i="1"/>
  <c r="AK197" i="1" s="1"/>
  <c r="AA195" i="1"/>
  <c r="Y195" i="1"/>
  <c r="W195" i="1"/>
  <c r="S195" i="1"/>
  <c r="Q195" i="1"/>
  <c r="M195" i="1"/>
  <c r="K195" i="1"/>
  <c r="I195" i="1"/>
  <c r="AE194" i="1"/>
  <c r="AI194" i="1" s="1"/>
  <c r="AD194" i="1"/>
  <c r="AL194" i="1" s="1"/>
  <c r="AC194" i="1"/>
  <c r="AG194" i="1" s="1"/>
  <c r="AE193" i="1"/>
  <c r="AM193" i="1" s="1"/>
  <c r="AD193" i="1"/>
  <c r="AH193" i="1" s="1"/>
  <c r="AC193" i="1"/>
  <c r="AK193" i="1" s="1"/>
  <c r="AE192" i="1"/>
  <c r="AI192" i="1" s="1"/>
  <c r="AD192" i="1"/>
  <c r="AC192" i="1"/>
  <c r="AG192" i="1" s="1"/>
  <c r="O191" i="1"/>
  <c r="AC191" i="1" s="1"/>
  <c r="AK191" i="1" s="1"/>
  <c r="Y189" i="1"/>
  <c r="W189" i="1"/>
  <c r="S189" i="1"/>
  <c r="Q189" i="1"/>
  <c r="O189" i="1"/>
  <c r="M189" i="1"/>
  <c r="K189" i="1"/>
  <c r="I189" i="1"/>
  <c r="AE188" i="1"/>
  <c r="AD188" i="1"/>
  <c r="AH188" i="1" s="1"/>
  <c r="AC188" i="1"/>
  <c r="AG188" i="1" s="1"/>
  <c r="AA188" i="1"/>
  <c r="AE187" i="1"/>
  <c r="AM187" i="1" s="1"/>
  <c r="AD187" i="1"/>
  <c r="AL187" i="1" s="1"/>
  <c r="AC187" i="1"/>
  <c r="AG187" i="1" s="1"/>
  <c r="AE186" i="1"/>
  <c r="AI186" i="1" s="1"/>
  <c r="AD186" i="1"/>
  <c r="AC186" i="1"/>
  <c r="AK186" i="1" s="1"/>
  <c r="AE185" i="1"/>
  <c r="AD185" i="1"/>
  <c r="AL185" i="1" s="1"/>
  <c r="AC185" i="1"/>
  <c r="AG185" i="1" s="1"/>
  <c r="Y183" i="1"/>
  <c r="W183" i="1"/>
  <c r="S183" i="1"/>
  <c r="Q183" i="1"/>
  <c r="O183" i="1"/>
  <c r="M183" i="1"/>
  <c r="K183" i="1"/>
  <c r="I183" i="1"/>
  <c r="AE182" i="1"/>
  <c r="AM182" i="1" s="1"/>
  <c r="AD182" i="1"/>
  <c r="AL182" i="1" s="1"/>
  <c r="AC182" i="1"/>
  <c r="AK182" i="1" s="1"/>
  <c r="AE181" i="1"/>
  <c r="AI181" i="1" s="1"/>
  <c r="AD181" i="1"/>
  <c r="AL181" i="1" s="1"/>
  <c r="AC181" i="1"/>
  <c r="AG181" i="1" s="1"/>
  <c r="AE180" i="1"/>
  <c r="AI180" i="1" s="1"/>
  <c r="AD180" i="1"/>
  <c r="AH180" i="1" s="1"/>
  <c r="AC180" i="1"/>
  <c r="AK180" i="1" s="1"/>
  <c r="AE179" i="1"/>
  <c r="AM179" i="1" s="1"/>
  <c r="AD179" i="1"/>
  <c r="AL179" i="1" s="1"/>
  <c r="AC179" i="1"/>
  <c r="AG179" i="1" s="1"/>
  <c r="AA179" i="1"/>
  <c r="AA183" i="1" s="1"/>
  <c r="AE178" i="1"/>
  <c r="AM178" i="1" s="1"/>
  <c r="AD178" i="1"/>
  <c r="AL178" i="1" s="1"/>
  <c r="AC178" i="1"/>
  <c r="AK178" i="1" s="1"/>
  <c r="AK177" i="1"/>
  <c r="AG177" i="1"/>
  <c r="AE177" i="1"/>
  <c r="AI177" i="1" s="1"/>
  <c r="AD177" i="1"/>
  <c r="AH177" i="1" s="1"/>
  <c r="Y176" i="1"/>
  <c r="W176" i="1"/>
  <c r="S176" i="1"/>
  <c r="Q176" i="1"/>
  <c r="O176" i="1"/>
  <c r="M176" i="1"/>
  <c r="K176" i="1"/>
  <c r="I176" i="1"/>
  <c r="AE175" i="1"/>
  <c r="AM175" i="1" s="1"/>
  <c r="AD175" i="1"/>
  <c r="AH175" i="1" s="1"/>
  <c r="AC175" i="1"/>
  <c r="AK175" i="1" s="1"/>
  <c r="AA175" i="1"/>
  <c r="AE174" i="1"/>
  <c r="AM174" i="1" s="1"/>
  <c r="AD174" i="1"/>
  <c r="AH174" i="1" s="1"/>
  <c r="AC174" i="1"/>
  <c r="AG174" i="1" s="1"/>
  <c r="AE173" i="1"/>
  <c r="AI173" i="1" s="1"/>
  <c r="AD173" i="1"/>
  <c r="AH173" i="1" s="1"/>
  <c r="AC173" i="1"/>
  <c r="AK173" i="1" s="1"/>
  <c r="AE172" i="1"/>
  <c r="AM172" i="1" s="1"/>
  <c r="AD172" i="1"/>
  <c r="AH172" i="1" s="1"/>
  <c r="AC172" i="1"/>
  <c r="AK172" i="1" s="1"/>
  <c r="AE171" i="1"/>
  <c r="AI171" i="1" s="1"/>
  <c r="AD171" i="1"/>
  <c r="AL171" i="1" s="1"/>
  <c r="AC171" i="1"/>
  <c r="AK171" i="1" s="1"/>
  <c r="AE170" i="1"/>
  <c r="AI170" i="1" s="1"/>
  <c r="AD170" i="1"/>
  <c r="AL170" i="1" s="1"/>
  <c r="AC170" i="1"/>
  <c r="AG170" i="1" s="1"/>
  <c r="AE169" i="1"/>
  <c r="AD169" i="1"/>
  <c r="AL169" i="1" s="1"/>
  <c r="AC169" i="1"/>
  <c r="AK169" i="1" s="1"/>
  <c r="AA164" i="1"/>
  <c r="Y164" i="1"/>
  <c r="W164" i="1"/>
  <c r="S164" i="1"/>
  <c r="Q164" i="1"/>
  <c r="O164" i="1"/>
  <c r="M164" i="1"/>
  <c r="K164" i="1"/>
  <c r="I164" i="1"/>
  <c r="AE163" i="1"/>
  <c r="AI163" i="1" s="1"/>
  <c r="AD163" i="1"/>
  <c r="AL163" i="1" s="1"/>
  <c r="AC163" i="1"/>
  <c r="AG163" i="1" s="1"/>
  <c r="AE162" i="1"/>
  <c r="AM162" i="1" s="1"/>
  <c r="AD162" i="1"/>
  <c r="AH162" i="1" s="1"/>
  <c r="AC162" i="1"/>
  <c r="AK162" i="1" s="1"/>
  <c r="AE161" i="1"/>
  <c r="AI161" i="1" s="1"/>
  <c r="AD161" i="1"/>
  <c r="AH161" i="1" s="1"/>
  <c r="AC161" i="1"/>
  <c r="AG161" i="1" s="1"/>
  <c r="AE160" i="1"/>
  <c r="AM160" i="1" s="1"/>
  <c r="AD160" i="1"/>
  <c r="AL160" i="1" s="1"/>
  <c r="AC160" i="1"/>
  <c r="AK160" i="1" s="1"/>
  <c r="AE159" i="1"/>
  <c r="AI159" i="1" s="1"/>
  <c r="AD159" i="1"/>
  <c r="AL159" i="1" s="1"/>
  <c r="AC159" i="1"/>
  <c r="AE158" i="1"/>
  <c r="AM158" i="1" s="1"/>
  <c r="AD158" i="1"/>
  <c r="AL158" i="1" s="1"/>
  <c r="AC158" i="1"/>
  <c r="AK158" i="1" s="1"/>
  <c r="AE157" i="1"/>
  <c r="AI157" i="1" s="1"/>
  <c r="AD157" i="1"/>
  <c r="AL157" i="1" s="1"/>
  <c r="AC157" i="1"/>
  <c r="AG157" i="1" s="1"/>
  <c r="AE156" i="1"/>
  <c r="AM156" i="1" s="1"/>
  <c r="AD156" i="1"/>
  <c r="AL156" i="1" s="1"/>
  <c r="AC156" i="1"/>
  <c r="AK156" i="1" s="1"/>
  <c r="AA154" i="1"/>
  <c r="Y154" i="1"/>
  <c r="W154" i="1"/>
  <c r="S154" i="1"/>
  <c r="Q154" i="1"/>
  <c r="O154" i="1"/>
  <c r="M154" i="1"/>
  <c r="K154" i="1"/>
  <c r="I154" i="1"/>
  <c r="AE153" i="1"/>
  <c r="AI153" i="1" s="1"/>
  <c r="AI154" i="1" s="1"/>
  <c r="AD153" i="1"/>
  <c r="AD154" i="1" s="1"/>
  <c r="AC153" i="1"/>
  <c r="AG153" i="1" s="1"/>
  <c r="AG154" i="1" s="1"/>
  <c r="AA151" i="1"/>
  <c r="Y151" i="1"/>
  <c r="W151" i="1"/>
  <c r="S151" i="1"/>
  <c r="Q151" i="1"/>
  <c r="AE150" i="1"/>
  <c r="AM150" i="1" s="1"/>
  <c r="AD150" i="1"/>
  <c r="AH150" i="1" s="1"/>
  <c r="AC150" i="1"/>
  <c r="AK150" i="1" s="1"/>
  <c r="AE149" i="1"/>
  <c r="AI149" i="1" s="1"/>
  <c r="AD149" i="1"/>
  <c r="AC149" i="1"/>
  <c r="AG149" i="1" s="1"/>
  <c r="AE148" i="1"/>
  <c r="AM148" i="1" s="1"/>
  <c r="AD148" i="1"/>
  <c r="AL148" i="1" s="1"/>
  <c r="AC148" i="1"/>
  <c r="AK148" i="1" s="1"/>
  <c r="O147" i="1"/>
  <c r="O151" i="1" s="1"/>
  <c r="M147" i="1"/>
  <c r="K147" i="1"/>
  <c r="K151" i="1" s="1"/>
  <c r="I147" i="1"/>
  <c r="I151" i="1" s="1"/>
  <c r="AA145" i="1"/>
  <c r="Y145" i="1"/>
  <c r="W145" i="1"/>
  <c r="S145" i="1"/>
  <c r="Q145" i="1"/>
  <c r="O145" i="1"/>
  <c r="M145" i="1"/>
  <c r="K145" i="1"/>
  <c r="I145" i="1"/>
  <c r="AE144" i="1"/>
  <c r="AI144" i="1" s="1"/>
  <c r="AD144" i="1"/>
  <c r="AH144" i="1" s="1"/>
  <c r="AC144" i="1"/>
  <c r="AK144" i="1" s="1"/>
  <c r="AE143" i="1"/>
  <c r="AI143" i="1" s="1"/>
  <c r="AD143" i="1"/>
  <c r="AL143" i="1" s="1"/>
  <c r="AC143" i="1"/>
  <c r="AG143" i="1" s="1"/>
  <c r="AE142" i="1"/>
  <c r="AD142" i="1"/>
  <c r="AH142" i="1" s="1"/>
  <c r="AC142" i="1"/>
  <c r="AG142" i="1" s="1"/>
  <c r="Y140" i="1"/>
  <c r="W140" i="1"/>
  <c r="S140" i="1"/>
  <c r="Q140" i="1"/>
  <c r="O140" i="1"/>
  <c r="M140" i="1"/>
  <c r="K140" i="1"/>
  <c r="I140" i="1"/>
  <c r="AE139" i="1"/>
  <c r="AM139" i="1" s="1"/>
  <c r="AD139" i="1"/>
  <c r="AL139" i="1" s="1"/>
  <c r="AC139" i="1"/>
  <c r="AG139" i="1" s="1"/>
  <c r="AA139" i="1"/>
  <c r="AE138" i="1"/>
  <c r="AI138" i="1" s="1"/>
  <c r="AD138" i="1"/>
  <c r="AH138" i="1" s="1"/>
  <c r="AC138" i="1"/>
  <c r="AG138" i="1" s="1"/>
  <c r="AE137" i="1"/>
  <c r="AM137" i="1" s="1"/>
  <c r="AH137" i="1"/>
  <c r="AE136" i="1"/>
  <c r="AI136" i="1" s="1"/>
  <c r="AD136" i="1"/>
  <c r="AL136" i="1" s="1"/>
  <c r="AC136" i="1"/>
  <c r="AK136" i="1" s="1"/>
  <c r="AA136" i="1"/>
  <c r="AE135" i="1"/>
  <c r="AI135" i="1" s="1"/>
  <c r="AD135" i="1"/>
  <c r="AL135" i="1" s="1"/>
  <c r="AC135" i="1"/>
  <c r="AG135" i="1" s="1"/>
  <c r="AA130" i="1"/>
  <c r="Y130" i="1"/>
  <c r="W130" i="1"/>
  <c r="S130" i="1"/>
  <c r="Q130" i="1"/>
  <c r="O130" i="1"/>
  <c r="M130" i="1"/>
  <c r="K130" i="1"/>
  <c r="I130" i="1"/>
  <c r="AE129" i="1"/>
  <c r="AI129" i="1" s="1"/>
  <c r="AD129" i="1"/>
  <c r="AC129" i="1"/>
  <c r="AK129" i="1" s="1"/>
  <c r="AE128" i="1"/>
  <c r="AD128" i="1"/>
  <c r="AL128" i="1" s="1"/>
  <c r="AC128" i="1"/>
  <c r="AG128" i="1" s="1"/>
  <c r="AE127" i="1"/>
  <c r="AM127" i="1" s="1"/>
  <c r="AD127" i="1"/>
  <c r="AL127" i="1" s="1"/>
  <c r="AC127" i="1"/>
  <c r="AK127" i="1" s="1"/>
  <c r="AE126" i="1"/>
  <c r="AI126" i="1" s="1"/>
  <c r="AD126" i="1"/>
  <c r="AL126" i="1" s="1"/>
  <c r="AC126" i="1"/>
  <c r="AG126" i="1" s="1"/>
  <c r="AE125" i="1"/>
  <c r="AI125" i="1" s="1"/>
  <c r="AD125" i="1"/>
  <c r="AC125" i="1"/>
  <c r="AK125" i="1" s="1"/>
  <c r="AE124" i="1"/>
  <c r="AD124" i="1"/>
  <c r="AL124" i="1" s="1"/>
  <c r="AC124" i="1"/>
  <c r="AG124" i="1" s="1"/>
  <c r="AE123" i="1"/>
  <c r="AM123" i="1" s="1"/>
  <c r="AD123" i="1"/>
  <c r="AL123" i="1" s="1"/>
  <c r="AC123" i="1"/>
  <c r="AK123" i="1" s="1"/>
  <c r="AE121" i="1"/>
  <c r="AI121" i="1" s="1"/>
  <c r="AD121" i="1"/>
  <c r="AH121" i="1" s="1"/>
  <c r="AC121" i="1"/>
  <c r="AG121" i="1" s="1"/>
  <c r="AE119" i="1"/>
  <c r="AI119" i="1" s="1"/>
  <c r="AD119" i="1"/>
  <c r="AC119" i="1"/>
  <c r="AK119" i="1" s="1"/>
  <c r="AE118" i="1"/>
  <c r="AD118" i="1"/>
  <c r="AL118" i="1" s="1"/>
  <c r="AC118" i="1"/>
  <c r="W116" i="1"/>
  <c r="S116" i="1"/>
  <c r="Q116" i="1"/>
  <c r="O116" i="1"/>
  <c r="M116" i="1"/>
  <c r="K116" i="1"/>
  <c r="AK115" i="1"/>
  <c r="AG115" i="1"/>
  <c r="AE115" i="1"/>
  <c r="AM115" i="1" s="1"/>
  <c r="AD115" i="1"/>
  <c r="AH115" i="1" s="1"/>
  <c r="AE114" i="1"/>
  <c r="AD114" i="1"/>
  <c r="AA114" i="1"/>
  <c r="Y114" i="1"/>
  <c r="AG113" i="1"/>
  <c r="AE113" i="1"/>
  <c r="AI113" i="1" s="1"/>
  <c r="AD113" i="1"/>
  <c r="AH113" i="1" s="1"/>
  <c r="AA113" i="1"/>
  <c r="Y113" i="1"/>
  <c r="AG112" i="1"/>
  <c r="AE112" i="1"/>
  <c r="AM112" i="1" s="1"/>
  <c r="AD112" i="1"/>
  <c r="AA112" i="1"/>
  <c r="AG111" i="1"/>
  <c r="AE111" i="1"/>
  <c r="AI111" i="1" s="1"/>
  <c r="AD111" i="1"/>
  <c r="AH111" i="1" s="1"/>
  <c r="AA111" i="1"/>
  <c r="Y111" i="1"/>
  <c r="AE110" i="1"/>
  <c r="AM110" i="1" s="1"/>
  <c r="AD110" i="1"/>
  <c r="AH110" i="1" s="1"/>
  <c r="AC110" i="1"/>
  <c r="AK110" i="1" s="1"/>
  <c r="AE109" i="1"/>
  <c r="AM109" i="1" s="1"/>
  <c r="AD109" i="1"/>
  <c r="AL109" i="1" s="1"/>
  <c r="AC109" i="1"/>
  <c r="AG109" i="1" s="1"/>
  <c r="I109" i="1"/>
  <c r="I116" i="1" s="1"/>
  <c r="AE108" i="1"/>
  <c r="AI108" i="1" s="1"/>
  <c r="AD108" i="1"/>
  <c r="AL108" i="1" s="1"/>
  <c r="AC108" i="1"/>
  <c r="AE107" i="1"/>
  <c r="AM107" i="1" s="1"/>
  <c r="AD107" i="1"/>
  <c r="AH107" i="1" s="1"/>
  <c r="AC107" i="1"/>
  <c r="AK107" i="1" s="1"/>
  <c r="AE106" i="1"/>
  <c r="AI106" i="1" s="1"/>
  <c r="AD106" i="1"/>
  <c r="AL106" i="1" s="1"/>
  <c r="AC106" i="1"/>
  <c r="AG106" i="1" s="1"/>
  <c r="AE105" i="1"/>
  <c r="AM105" i="1" s="1"/>
  <c r="AD105" i="1"/>
  <c r="AH105" i="1" s="1"/>
  <c r="AC105" i="1"/>
  <c r="AG105" i="1" s="1"/>
  <c r="AE104" i="1"/>
  <c r="AI104" i="1" s="1"/>
  <c r="AD104" i="1"/>
  <c r="AL104" i="1" s="1"/>
  <c r="AC104" i="1"/>
  <c r="AG104" i="1" s="1"/>
  <c r="AE103" i="1"/>
  <c r="AM103" i="1" s="1"/>
  <c r="AD103" i="1"/>
  <c r="AC103" i="1"/>
  <c r="AK103" i="1" s="1"/>
  <c r="AE102" i="1"/>
  <c r="AI102" i="1" s="1"/>
  <c r="AD102" i="1"/>
  <c r="AL102" i="1" s="1"/>
  <c r="AC102" i="1"/>
  <c r="AK102" i="1" s="1"/>
  <c r="AE101" i="1"/>
  <c r="AM101" i="1" s="1"/>
  <c r="AD101" i="1"/>
  <c r="AC101" i="1"/>
  <c r="AK101" i="1" s="1"/>
  <c r="AE100" i="1"/>
  <c r="AI100" i="1" s="1"/>
  <c r="AD100" i="1"/>
  <c r="AL100" i="1" s="1"/>
  <c r="AC100" i="1"/>
  <c r="AG100" i="1" s="1"/>
  <c r="AE99" i="1"/>
  <c r="AM99" i="1" s="1"/>
  <c r="AD99" i="1"/>
  <c r="AH99" i="1" s="1"/>
  <c r="AC99" i="1"/>
  <c r="AE98" i="1"/>
  <c r="AI98" i="1" s="1"/>
  <c r="AD98" i="1"/>
  <c r="AL98" i="1" s="1"/>
  <c r="AC98" i="1"/>
  <c r="AK98" i="1" s="1"/>
  <c r="AE97" i="1"/>
  <c r="AM97" i="1" s="1"/>
  <c r="AD97" i="1"/>
  <c r="AH97" i="1" s="1"/>
  <c r="AC97" i="1"/>
  <c r="AK97" i="1" s="1"/>
  <c r="AE96" i="1"/>
  <c r="AI96" i="1" s="1"/>
  <c r="AD96" i="1"/>
  <c r="AL96" i="1" s="1"/>
  <c r="AC96" i="1"/>
  <c r="AK96" i="1" s="1"/>
  <c r="AE95" i="1"/>
  <c r="AM95" i="1" s="1"/>
  <c r="AD95" i="1"/>
  <c r="AH95" i="1" s="1"/>
  <c r="AC95" i="1"/>
  <c r="AG95" i="1" s="1"/>
  <c r="AE94" i="1"/>
  <c r="AI94" i="1" s="1"/>
  <c r="AD94" i="1"/>
  <c r="AL94" i="1" s="1"/>
  <c r="AC94" i="1"/>
  <c r="AE93" i="1"/>
  <c r="AM93" i="1" s="1"/>
  <c r="AD93" i="1"/>
  <c r="AC93" i="1"/>
  <c r="AK93" i="1" s="1"/>
  <c r="AA93" i="1"/>
  <c r="AE92" i="1"/>
  <c r="AI92" i="1" s="1"/>
  <c r="AD92" i="1"/>
  <c r="AL92" i="1" s="1"/>
  <c r="AC92" i="1"/>
  <c r="AG92" i="1" s="1"/>
  <c r="AA84" i="1"/>
  <c r="Y84" i="1"/>
  <c r="W84" i="1"/>
  <c r="S84" i="1"/>
  <c r="Q84" i="1"/>
  <c r="O84" i="1"/>
  <c r="M84" i="1"/>
  <c r="K84" i="1"/>
  <c r="I84" i="1"/>
  <c r="AE83" i="1"/>
  <c r="AM83" i="1" s="1"/>
  <c r="AD83" i="1"/>
  <c r="AL83" i="1" s="1"/>
  <c r="AC83" i="1"/>
  <c r="AK83" i="1" s="1"/>
  <c r="AE82" i="1"/>
  <c r="AI82" i="1" s="1"/>
  <c r="AD82" i="1"/>
  <c r="AL82" i="1" s="1"/>
  <c r="AC82" i="1"/>
  <c r="AE81" i="1"/>
  <c r="AM81" i="1" s="1"/>
  <c r="AD81" i="1"/>
  <c r="AH81" i="1" s="1"/>
  <c r="AC81" i="1"/>
  <c r="AK81" i="1" s="1"/>
  <c r="AA79" i="1"/>
  <c r="Y79" i="1"/>
  <c r="W79" i="1"/>
  <c r="S79" i="1"/>
  <c r="Q79" i="1"/>
  <c r="O79" i="1"/>
  <c r="M79" i="1"/>
  <c r="K79" i="1"/>
  <c r="I79" i="1"/>
  <c r="AE78" i="1"/>
  <c r="AM78" i="1" s="1"/>
  <c r="AD78" i="1"/>
  <c r="AL78" i="1" s="1"/>
  <c r="AC78" i="1"/>
  <c r="AK78" i="1" s="1"/>
  <c r="AC77" i="1"/>
  <c r="AC76" i="1"/>
  <c r="AE75" i="1"/>
  <c r="AI75" i="1" s="1"/>
  <c r="AD75" i="1"/>
  <c r="AL75" i="1" s="1"/>
  <c r="AC75" i="1"/>
  <c r="AK75" i="1" s="1"/>
  <c r="AE74" i="1"/>
  <c r="AM74" i="1" s="1"/>
  <c r="AD74" i="1"/>
  <c r="AL74" i="1" s="1"/>
  <c r="AC74" i="1"/>
  <c r="AK74" i="1" s="1"/>
  <c r="AE73" i="1"/>
  <c r="AM73" i="1" s="1"/>
  <c r="AD73" i="1"/>
  <c r="AL73" i="1" s="1"/>
  <c r="AC73" i="1"/>
  <c r="AK73" i="1" s="1"/>
  <c r="AA71" i="1"/>
  <c r="Y71" i="1"/>
  <c r="W71" i="1"/>
  <c r="S71" i="1"/>
  <c r="Q71" i="1"/>
  <c r="O71" i="1"/>
  <c r="M71" i="1"/>
  <c r="K71" i="1"/>
  <c r="I71" i="1"/>
  <c r="AE70" i="1"/>
  <c r="AI70" i="1" s="1"/>
  <c r="AD70" i="1"/>
  <c r="AL70" i="1" s="1"/>
  <c r="AC70" i="1"/>
  <c r="AG70" i="1" s="1"/>
  <c r="AE69" i="1"/>
  <c r="AM69" i="1" s="1"/>
  <c r="AD69" i="1"/>
  <c r="AC69" i="1"/>
  <c r="AG69" i="1" s="1"/>
  <c r="AA66" i="1"/>
  <c r="Y66" i="1"/>
  <c r="W66" i="1"/>
  <c r="S66" i="1"/>
  <c r="Q66" i="1"/>
  <c r="O66" i="1"/>
  <c r="M66" i="1"/>
  <c r="K66" i="1"/>
  <c r="I66" i="1"/>
  <c r="AE65" i="1"/>
  <c r="AI65" i="1" s="1"/>
  <c r="AD65" i="1"/>
  <c r="AL65" i="1" s="1"/>
  <c r="AC65" i="1"/>
  <c r="AK65" i="1" s="1"/>
  <c r="AE64" i="1"/>
  <c r="AM64" i="1" s="1"/>
  <c r="AD64" i="1"/>
  <c r="AC64" i="1"/>
  <c r="AA62" i="1"/>
  <c r="Y62" i="1"/>
  <c r="W62" i="1"/>
  <c r="S62" i="1"/>
  <c r="Q62" i="1"/>
  <c r="O62" i="1"/>
  <c r="M62" i="1"/>
  <c r="K62" i="1"/>
  <c r="AE61" i="1"/>
  <c r="AM61" i="1" s="1"/>
  <c r="AD61" i="1"/>
  <c r="AC61" i="1"/>
  <c r="AG61" i="1" s="1"/>
  <c r="AE59" i="1"/>
  <c r="AM59" i="1" s="1"/>
  <c r="AD59" i="1"/>
  <c r="AL59" i="1" s="1"/>
  <c r="AC59" i="1"/>
  <c r="AK59" i="1" s="1"/>
  <c r="I59" i="1"/>
  <c r="I62" i="1" s="1"/>
  <c r="AE58" i="1"/>
  <c r="AI58" i="1" s="1"/>
  <c r="AD58" i="1"/>
  <c r="AH58" i="1" s="1"/>
  <c r="AC58" i="1"/>
  <c r="AG58" i="1" s="1"/>
  <c r="AE57" i="1"/>
  <c r="AM57" i="1" s="1"/>
  <c r="AD57" i="1"/>
  <c r="AL57" i="1" s="1"/>
  <c r="AC57" i="1"/>
  <c r="AK57" i="1" s="1"/>
  <c r="AE56" i="1"/>
  <c r="AD56" i="1"/>
  <c r="AH56" i="1" s="1"/>
  <c r="AC56" i="1"/>
  <c r="AK56" i="1" s="1"/>
  <c r="AE55" i="1"/>
  <c r="AM55" i="1" s="1"/>
  <c r="AD55" i="1"/>
  <c r="AL55" i="1" s="1"/>
  <c r="AC55" i="1"/>
  <c r="AK55" i="1" s="1"/>
  <c r="AE54" i="1"/>
  <c r="AI54" i="1" s="1"/>
  <c r="AD54" i="1"/>
  <c r="AL54" i="1" s="1"/>
  <c r="AC54" i="1"/>
  <c r="AG54" i="1" s="1"/>
  <c r="AE53" i="1"/>
  <c r="AM53" i="1" s="1"/>
  <c r="AD53" i="1"/>
  <c r="AL53" i="1" s="1"/>
  <c r="AC53" i="1"/>
  <c r="AG53" i="1" s="1"/>
  <c r="AE52" i="1"/>
  <c r="AD52" i="1"/>
  <c r="AH52" i="1" s="1"/>
  <c r="AC52" i="1"/>
  <c r="AK52" i="1" s="1"/>
  <c r="AE51" i="1"/>
  <c r="AI51" i="1" s="1"/>
  <c r="AD51" i="1"/>
  <c r="AL51" i="1" s="1"/>
  <c r="AC51" i="1"/>
  <c r="AK51" i="1" s="1"/>
  <c r="AE50" i="1"/>
  <c r="AI50" i="1" s="1"/>
  <c r="AD50" i="1"/>
  <c r="AL50" i="1" s="1"/>
  <c r="AC50" i="1"/>
  <c r="AG50" i="1" s="1"/>
  <c r="AA47" i="1"/>
  <c r="Y47" i="1"/>
  <c r="W47" i="1"/>
  <c r="S47" i="1"/>
  <c r="Q47" i="1"/>
  <c r="O47" i="1"/>
  <c r="M47" i="1"/>
  <c r="K47" i="1"/>
  <c r="I47" i="1"/>
  <c r="AE46" i="1"/>
  <c r="AM46" i="1" s="1"/>
  <c r="AD46" i="1"/>
  <c r="AC46" i="1"/>
  <c r="AK46" i="1" s="1"/>
  <c r="AE45" i="1"/>
  <c r="AI45" i="1" s="1"/>
  <c r="AD45" i="1"/>
  <c r="AH45" i="1" s="1"/>
  <c r="AC45" i="1"/>
  <c r="AG45" i="1" s="1"/>
  <c r="AE44" i="1"/>
  <c r="AM44" i="1" s="1"/>
  <c r="AD44" i="1"/>
  <c r="AL44" i="1" s="1"/>
  <c r="AC44" i="1"/>
  <c r="AK44" i="1" s="1"/>
  <c r="AE43" i="1"/>
  <c r="AD43" i="1"/>
  <c r="AH43" i="1" s="1"/>
  <c r="AC43" i="1"/>
  <c r="AK43" i="1" s="1"/>
  <c r="AE42" i="1"/>
  <c r="AM42" i="1" s="1"/>
  <c r="AD42" i="1"/>
  <c r="AL42" i="1" s="1"/>
  <c r="AC42" i="1"/>
  <c r="AK42" i="1" s="1"/>
  <c r="AE41" i="1"/>
  <c r="AM41" i="1" s="1"/>
  <c r="AD41" i="1"/>
  <c r="AL41" i="1" s="1"/>
  <c r="AC41" i="1"/>
  <c r="AK41" i="1" s="1"/>
  <c r="AA39" i="1"/>
  <c r="Y39" i="1"/>
  <c r="W39" i="1"/>
  <c r="S39" i="1"/>
  <c r="Q39" i="1"/>
  <c r="O39" i="1"/>
  <c r="M39" i="1"/>
  <c r="K39" i="1"/>
  <c r="I39" i="1"/>
  <c r="AE38" i="1"/>
  <c r="AI38" i="1" s="1"/>
  <c r="AD38" i="1"/>
  <c r="AH38" i="1" s="1"/>
  <c r="AC38" i="1"/>
  <c r="AG38" i="1" s="1"/>
  <c r="AE37" i="1"/>
  <c r="AM37" i="1" s="1"/>
  <c r="AD37" i="1"/>
  <c r="AL37" i="1" s="1"/>
  <c r="AC37" i="1"/>
  <c r="AK37" i="1" s="1"/>
  <c r="AE36" i="1"/>
  <c r="AD36" i="1"/>
  <c r="AH36" i="1" s="1"/>
  <c r="AC36" i="1"/>
  <c r="AK36" i="1" s="1"/>
  <c r="AA32" i="1"/>
  <c r="Y32" i="1"/>
  <c r="W32" i="1"/>
  <c r="S32" i="1"/>
  <c r="Q32" i="1"/>
  <c r="O32" i="1"/>
  <c r="M32" i="1"/>
  <c r="K32" i="1"/>
  <c r="I32" i="1"/>
  <c r="AE31" i="1"/>
  <c r="AM31" i="1" s="1"/>
  <c r="AD31" i="1"/>
  <c r="AL31" i="1" s="1"/>
  <c r="AC31" i="1"/>
  <c r="AK31" i="1" s="1"/>
  <c r="AE30" i="1"/>
  <c r="AD30" i="1"/>
  <c r="AH30" i="1" s="1"/>
  <c r="AC30" i="1"/>
  <c r="AG30" i="1" s="1"/>
  <c r="AE29" i="1"/>
  <c r="AM29" i="1" s="1"/>
  <c r="AD29" i="1"/>
  <c r="AL29" i="1" s="1"/>
  <c r="AC29" i="1"/>
  <c r="AK29" i="1" s="1"/>
  <c r="AA27" i="1"/>
  <c r="Y27" i="1"/>
  <c r="W27" i="1"/>
  <c r="S27" i="1"/>
  <c r="Q27" i="1"/>
  <c r="O27" i="1"/>
  <c r="M27" i="1"/>
  <c r="K27" i="1"/>
  <c r="I27" i="1"/>
  <c r="AE26" i="1"/>
  <c r="AM26" i="1" s="1"/>
  <c r="AD26" i="1"/>
  <c r="AL26" i="1" s="1"/>
  <c r="AC26" i="1"/>
  <c r="AK26" i="1" s="1"/>
  <c r="AE25" i="1"/>
  <c r="AI25" i="1" s="1"/>
  <c r="AD25" i="1"/>
  <c r="AC25" i="1"/>
  <c r="AG25" i="1" s="1"/>
  <c r="AE24" i="1"/>
  <c r="AM24" i="1" s="1"/>
  <c r="AD24" i="1"/>
  <c r="AL24" i="1" s="1"/>
  <c r="AC24" i="1"/>
  <c r="AK24" i="1" s="1"/>
  <c r="AA22" i="1"/>
  <c r="Y22" i="1"/>
  <c r="W22" i="1"/>
  <c r="S22" i="1"/>
  <c r="Q22" i="1"/>
  <c r="O22" i="1"/>
  <c r="K22" i="1"/>
  <c r="I22" i="1"/>
  <c r="AE21" i="1"/>
  <c r="AM21" i="1" s="1"/>
  <c r="AD21" i="1"/>
  <c r="AL21" i="1" s="1"/>
  <c r="AC21" i="1"/>
  <c r="AG21" i="1" s="1"/>
  <c r="AE20" i="1"/>
  <c r="M20" i="1"/>
  <c r="M22" i="1" s="1"/>
  <c r="AE19" i="1"/>
  <c r="AM19" i="1" s="1"/>
  <c r="AD19" i="1"/>
  <c r="AL19" i="1" s="1"/>
  <c r="AC19" i="1"/>
  <c r="AE18" i="1"/>
  <c r="AI18" i="1" s="1"/>
  <c r="AD18" i="1"/>
  <c r="AH18" i="1" s="1"/>
  <c r="AC18" i="1"/>
  <c r="AK18" i="1" s="1"/>
  <c r="AE17" i="1"/>
  <c r="AD17" i="1"/>
  <c r="AC17" i="1"/>
  <c r="AG17" i="1" s="1"/>
  <c r="AA13" i="1"/>
  <c r="AA14" i="1" s="1"/>
  <c r="Y13" i="1"/>
  <c r="Y14" i="1" s="1"/>
  <c r="W13" i="1"/>
  <c r="W14" i="1" s="1"/>
  <c r="S13" i="1"/>
  <c r="S14" i="1" s="1"/>
  <c r="Q13" i="1"/>
  <c r="Q14" i="1" s="1"/>
  <c r="O13" i="1"/>
  <c r="O14" i="1" s="1"/>
  <c r="M13" i="1"/>
  <c r="M14" i="1" s="1"/>
  <c r="K13" i="1"/>
  <c r="K14" i="1" s="1"/>
  <c r="I13" i="1"/>
  <c r="I14" i="1" s="1"/>
  <c r="AE12" i="1"/>
  <c r="AI12" i="1" s="1"/>
  <c r="AD12" i="1"/>
  <c r="AH12" i="1" s="1"/>
  <c r="AC12" i="1"/>
  <c r="AK12" i="1" s="1"/>
  <c r="AE11" i="1"/>
  <c r="AM11" i="1" s="1"/>
  <c r="AD11" i="1"/>
  <c r="AL11" i="1" s="1"/>
  <c r="AC11" i="1"/>
  <c r="AG11" i="1" s="1"/>
  <c r="AE9" i="1"/>
  <c r="AI9" i="1" s="1"/>
  <c r="AD9" i="1"/>
  <c r="AL9" i="1" s="1"/>
  <c r="AC9" i="1"/>
  <c r="AK9" i="1" s="1"/>
  <c r="AC8" i="1"/>
  <c r="AE7" i="1"/>
  <c r="AM7" i="1" s="1"/>
  <c r="AD7" i="1"/>
  <c r="AC7" i="1"/>
  <c r="AK7" i="1" s="1"/>
  <c r="AD20" i="1" l="1"/>
  <c r="AH20" i="1" s="1"/>
  <c r="AK142" i="1"/>
  <c r="AK328" i="1"/>
  <c r="AK95" i="1"/>
  <c r="AM312" i="1"/>
  <c r="AL114" i="1"/>
  <c r="AG65" i="1"/>
  <c r="AH118" i="1"/>
  <c r="S297" i="1"/>
  <c r="Q48" i="1"/>
  <c r="AG219" i="1"/>
  <c r="AH226" i="1"/>
  <c r="AL282" i="1"/>
  <c r="AL285" i="1" s="1"/>
  <c r="AH219" i="1"/>
  <c r="AH259" i="1"/>
  <c r="S131" i="1"/>
  <c r="AH75" i="1"/>
  <c r="AL263" i="1"/>
  <c r="AC20" i="1"/>
  <c r="AG20" i="1" s="1"/>
  <c r="AH65" i="1"/>
  <c r="W315" i="1"/>
  <c r="AI137" i="1"/>
  <c r="AH128" i="1"/>
  <c r="AG175" i="1"/>
  <c r="AD191" i="1"/>
  <c r="AL191" i="1" s="1"/>
  <c r="AK206" i="1"/>
  <c r="AH322" i="1"/>
  <c r="AG158" i="1"/>
  <c r="O195" i="1"/>
  <c r="AK135" i="1"/>
  <c r="AH323" i="1"/>
  <c r="AC334" i="1"/>
  <c r="S33" i="1"/>
  <c r="S165" i="1"/>
  <c r="K48" i="1"/>
  <c r="AG327" i="1"/>
  <c r="O346" i="1"/>
  <c r="I48" i="1"/>
  <c r="AL58" i="1"/>
  <c r="AK69" i="1"/>
  <c r="M345" i="1"/>
  <c r="AL137" i="1"/>
  <c r="AM157" i="1"/>
  <c r="AM282" i="1"/>
  <c r="AM304" i="1"/>
  <c r="AM323" i="1"/>
  <c r="AI326" i="1"/>
  <c r="AI64" i="1"/>
  <c r="AH98" i="1"/>
  <c r="K131" i="1"/>
  <c r="AI236" i="1"/>
  <c r="AG262" i="1"/>
  <c r="M131" i="1"/>
  <c r="AE200" i="1"/>
  <c r="AA254" i="1"/>
  <c r="AI321" i="1"/>
  <c r="I345" i="1"/>
  <c r="I346" i="1" s="1"/>
  <c r="Q131" i="1"/>
  <c r="AD334" i="1"/>
  <c r="AE191" i="1"/>
  <c r="AM191" i="1" s="1"/>
  <c r="AL333" i="1"/>
  <c r="AK258" i="1"/>
  <c r="AG309" i="1"/>
  <c r="AI309" i="1"/>
  <c r="K165" i="1"/>
  <c r="AM192" i="1"/>
  <c r="AE337" i="1"/>
  <c r="M48" i="1"/>
  <c r="AL97" i="1"/>
  <c r="AM108" i="1"/>
  <c r="AC200" i="1"/>
  <c r="AL312" i="1"/>
  <c r="AL320" i="1"/>
  <c r="AH332" i="1"/>
  <c r="Y48" i="1"/>
  <c r="AI24" i="1"/>
  <c r="AE39" i="1"/>
  <c r="AM54" i="1"/>
  <c r="AG101" i="1"/>
  <c r="AL36" i="1"/>
  <c r="S48" i="1"/>
  <c r="AD71" i="1"/>
  <c r="AM82" i="1"/>
  <c r="AI139" i="1"/>
  <c r="I238" i="1"/>
  <c r="AI250" i="1"/>
  <c r="Q315" i="1"/>
  <c r="AE330" i="1"/>
  <c r="AI233" i="1"/>
  <c r="AI319" i="1"/>
  <c r="AI333" i="1"/>
  <c r="Q33" i="1"/>
  <c r="O33" i="1"/>
  <c r="Y297" i="1"/>
  <c r="AL162" i="1"/>
  <c r="AI110" i="1"/>
  <c r="AM177" i="1"/>
  <c r="AA285" i="1"/>
  <c r="AA297" i="1" s="1"/>
  <c r="AH187" i="1"/>
  <c r="AL218" i="1"/>
  <c r="AI322" i="1"/>
  <c r="AH73" i="1"/>
  <c r="AL153" i="1"/>
  <c r="AL154" i="1" s="1"/>
  <c r="AI150" i="1"/>
  <c r="AH156" i="1"/>
  <c r="AM181" i="1"/>
  <c r="AM222" i="1"/>
  <c r="AK245" i="1"/>
  <c r="AK271" i="1"/>
  <c r="AI287" i="1"/>
  <c r="AI288" i="1" s="1"/>
  <c r="S346" i="1"/>
  <c r="AI327" i="1"/>
  <c r="AI329" i="1"/>
  <c r="AL56" i="1"/>
  <c r="AI81" i="1"/>
  <c r="AM144" i="1"/>
  <c r="AL150" i="1"/>
  <c r="AM194" i="1"/>
  <c r="AH267" i="1"/>
  <c r="AK287" i="1"/>
  <c r="AK288" i="1" s="1"/>
  <c r="AL308" i="1"/>
  <c r="AL329" i="1"/>
  <c r="O48" i="1"/>
  <c r="AM45" i="1"/>
  <c r="AI99" i="1"/>
  <c r="I131" i="1"/>
  <c r="AM129" i="1"/>
  <c r="AM186" i="1"/>
  <c r="AI197" i="1"/>
  <c r="Q276" i="1"/>
  <c r="I213" i="1"/>
  <c r="AH242" i="1"/>
  <c r="AL251" i="1"/>
  <c r="AL254" i="1" s="1"/>
  <c r="Y315" i="1"/>
  <c r="AK20" i="1"/>
  <c r="AI29" i="1"/>
  <c r="AH106" i="1"/>
  <c r="AG160" i="1"/>
  <c r="AL208" i="1"/>
  <c r="AM230" i="1"/>
  <c r="AM231" i="1" s="1"/>
  <c r="AM245" i="1"/>
  <c r="AH257" i="1"/>
  <c r="AL262" i="1"/>
  <c r="AI293" i="1"/>
  <c r="AG303" i="1"/>
  <c r="AH135" i="1"/>
  <c r="AH9" i="1"/>
  <c r="AL20" i="1"/>
  <c r="AK106" i="1"/>
  <c r="AH160" i="1"/>
  <c r="M213" i="1"/>
  <c r="AG233" i="1"/>
  <c r="AM257" i="1"/>
  <c r="AH290" i="1"/>
  <c r="AL293" i="1"/>
  <c r="AI303" i="1"/>
  <c r="AG37" i="1"/>
  <c r="AM106" i="1"/>
  <c r="AI160" i="1"/>
  <c r="AH269" i="1"/>
  <c r="AL303" i="1"/>
  <c r="AH305" i="1"/>
  <c r="AH310" i="1"/>
  <c r="AL18" i="1"/>
  <c r="AK53" i="1"/>
  <c r="AH70" i="1"/>
  <c r="AM75" i="1"/>
  <c r="AL138" i="1"/>
  <c r="AH153" i="1"/>
  <c r="AH154" i="1" s="1"/>
  <c r="AC154" i="1"/>
  <c r="Q213" i="1"/>
  <c r="AI187" i="1"/>
  <c r="AG193" i="1"/>
  <c r="AH252" i="1"/>
  <c r="AI305" i="1"/>
  <c r="AM310" i="1"/>
  <c r="AM18" i="1"/>
  <c r="AK104" i="1"/>
  <c r="AK153" i="1"/>
  <c r="AK154" i="1" s="1"/>
  <c r="AL193" i="1"/>
  <c r="AI206" i="1"/>
  <c r="AH222" i="1"/>
  <c r="AL233" i="1"/>
  <c r="AL243" i="1"/>
  <c r="AH11" i="1"/>
  <c r="K33" i="1"/>
  <c r="AH51" i="1"/>
  <c r="AI57" i="1"/>
  <c r="AI83" i="1"/>
  <c r="I276" i="1"/>
  <c r="AD13" i="1"/>
  <c r="AD14" i="1" s="1"/>
  <c r="AI31" i="1"/>
  <c r="AH41" i="1"/>
  <c r="AL95" i="1"/>
  <c r="AM119" i="1"/>
  <c r="AH179" i="1"/>
  <c r="AI203" i="1"/>
  <c r="K238" i="1"/>
  <c r="AH280" i="1"/>
  <c r="AH292" i="1"/>
  <c r="AH304" i="1"/>
  <c r="O315" i="1"/>
  <c r="AC22" i="1"/>
  <c r="AM51" i="1"/>
  <c r="AI105" i="1"/>
  <c r="AM125" i="1"/>
  <c r="AH139" i="1"/>
  <c r="AH194" i="1"/>
  <c r="AG211" i="1"/>
  <c r="AM219" i="1"/>
  <c r="AM253" i="1"/>
  <c r="AM292" i="1"/>
  <c r="AA306" i="1"/>
  <c r="AA315" i="1" s="1"/>
  <c r="AK312" i="1"/>
  <c r="AK70" i="1"/>
  <c r="AD79" i="1"/>
  <c r="AH108" i="1"/>
  <c r="Q297" i="1"/>
  <c r="AE145" i="1"/>
  <c r="AD189" i="1"/>
  <c r="AK237" i="1"/>
  <c r="AH26" i="1"/>
  <c r="AI37" i="1"/>
  <c r="AI69" i="1"/>
  <c r="AI71" i="1" s="1"/>
  <c r="AH104" i="1"/>
  <c r="O131" i="1"/>
  <c r="AH124" i="1"/>
  <c r="AI127" i="1"/>
  <c r="AI142" i="1"/>
  <c r="AI145" i="1" s="1"/>
  <c r="AH185" i="1"/>
  <c r="AH197" i="1"/>
  <c r="AM259" i="1"/>
  <c r="AG272" i="1"/>
  <c r="AH21" i="1"/>
  <c r="AI101" i="1"/>
  <c r="AH163" i="1"/>
  <c r="AE176" i="1"/>
  <c r="AL172" i="1"/>
  <c r="AD22" i="1"/>
  <c r="AI26" i="1"/>
  <c r="AG31" i="1"/>
  <c r="AI19" i="1"/>
  <c r="AI21" i="1"/>
  <c r="AH31" i="1"/>
  <c r="AG59" i="1"/>
  <c r="AG62" i="1" s="1"/>
  <c r="AL69" i="1"/>
  <c r="AH82" i="1"/>
  <c r="AM104" i="1"/>
  <c r="Q165" i="1"/>
  <c r="AI148" i="1"/>
  <c r="AI175" i="1"/>
  <c r="K213" i="1"/>
  <c r="AK203" i="1"/>
  <c r="AG218" i="1"/>
  <c r="AH220" i="1"/>
  <c r="AK226" i="1"/>
  <c r="Y276" i="1"/>
  <c r="AH253" i="1"/>
  <c r="AI262" i="1"/>
  <c r="AG264" i="1"/>
  <c r="AG270" i="1"/>
  <c r="AH17" i="1"/>
  <c r="AH24" i="1"/>
  <c r="AH29" i="1"/>
  <c r="AD47" i="1"/>
  <c r="AG57" i="1"/>
  <c r="AG156" i="1"/>
  <c r="AL175" i="1"/>
  <c r="AI193" i="1"/>
  <c r="AM197" i="1"/>
  <c r="AI218" i="1"/>
  <c r="AM226" i="1"/>
  <c r="AI229" i="1"/>
  <c r="AI231" i="1" s="1"/>
  <c r="AI251" i="1"/>
  <c r="AI258" i="1"/>
  <c r="AI264" i="1"/>
  <c r="AH281" i="1"/>
  <c r="AH284" i="1"/>
  <c r="AM284" i="1"/>
  <c r="AK17" i="1"/>
  <c r="AI7" i="1"/>
  <c r="AK11" i="1"/>
  <c r="AL17" i="1"/>
  <c r="M33" i="1"/>
  <c r="AK38" i="1"/>
  <c r="AD39" i="1"/>
  <c r="AI46" i="1"/>
  <c r="AG55" i="1"/>
  <c r="AI74" i="1"/>
  <c r="AG78" i="1"/>
  <c r="AG107" i="1"/>
  <c r="AM121" i="1"/>
  <c r="AH136" i="1"/>
  <c r="AM138" i="1"/>
  <c r="AH143" i="1"/>
  <c r="AH145" i="1" s="1"/>
  <c r="AH159" i="1"/>
  <c r="AK170" i="1"/>
  <c r="AL173" i="1"/>
  <c r="AK188" i="1"/>
  <c r="AG191" i="1"/>
  <c r="AM211" i="1"/>
  <c r="Y238" i="1"/>
  <c r="AE231" i="1"/>
  <c r="AI244" i="1"/>
  <c r="AK247" i="1"/>
  <c r="AL258" i="1"/>
  <c r="AL260" i="1" s="1"/>
  <c r="AG287" i="1"/>
  <c r="AG288" i="1" s="1"/>
  <c r="AI295" i="1"/>
  <c r="AD27" i="1"/>
  <c r="AL38" i="1"/>
  <c r="AI55" i="1"/>
  <c r="AH78" i="1"/>
  <c r="AG110" i="1"/>
  <c r="AI112" i="1"/>
  <c r="AM247" i="1"/>
  <c r="AG250" i="1"/>
  <c r="AH271" i="1"/>
  <c r="AC285" i="1"/>
  <c r="AD288" i="1"/>
  <c r="AM38" i="1"/>
  <c r="AI78" i="1"/>
  <c r="AK105" i="1"/>
  <c r="Y165" i="1"/>
  <c r="AG162" i="1"/>
  <c r="AG208" i="1"/>
  <c r="Q238" i="1"/>
  <c r="AG274" i="1"/>
  <c r="AD285" i="1"/>
  <c r="AM25" i="1"/>
  <c r="AH53" i="1"/>
  <c r="AH83" i="1"/>
  <c r="AE84" i="1"/>
  <c r="AM100" i="1"/>
  <c r="AL110" i="1"/>
  <c r="AI115" i="1"/>
  <c r="AM126" i="1"/>
  <c r="AI162" i="1"/>
  <c r="AH181" i="1"/>
  <c r="Y213" i="1"/>
  <c r="AC195" i="1"/>
  <c r="AI199" i="1"/>
  <c r="AI200" i="1" s="1"/>
  <c r="AI217" i="1"/>
  <c r="M238" i="1"/>
  <c r="O297" i="1"/>
  <c r="M297" i="1"/>
  <c r="AA248" i="1"/>
  <c r="AA276" i="1" s="1"/>
  <c r="AG71" i="1"/>
  <c r="AI95" i="1"/>
  <c r="AG144" i="1"/>
  <c r="AG145" i="1" s="1"/>
  <c r="AI156" i="1"/>
  <c r="AI158" i="1"/>
  <c r="AH170" i="1"/>
  <c r="AG186" i="1"/>
  <c r="AG189" i="1" s="1"/>
  <c r="AM200" i="1"/>
  <c r="AI208" i="1"/>
  <c r="AG229" i="1"/>
  <c r="AG231" i="1" s="1"/>
  <c r="AG256" i="1"/>
  <c r="AM269" i="1"/>
  <c r="AH273" i="1"/>
  <c r="AH46" i="1"/>
  <c r="AL121" i="1"/>
  <c r="AH126" i="1"/>
  <c r="AM273" i="1"/>
  <c r="AH341" i="1"/>
  <c r="AG343" i="1"/>
  <c r="AG44" i="1"/>
  <c r="AI53" i="1"/>
  <c r="AH55" i="1"/>
  <c r="AG73" i="1"/>
  <c r="AG81" i="1"/>
  <c r="AG93" i="1"/>
  <c r="AG97" i="1"/>
  <c r="AL99" i="1"/>
  <c r="AG103" i="1"/>
  <c r="AM170" i="1"/>
  <c r="AI172" i="1"/>
  <c r="AI174" i="1"/>
  <c r="AL177" i="1"/>
  <c r="AG252" i="1"/>
  <c r="AG320" i="1"/>
  <c r="AI341" i="1"/>
  <c r="AC39" i="1"/>
  <c r="AL46" i="1"/>
  <c r="AI103" i="1"/>
  <c r="AK124" i="1"/>
  <c r="AK174" i="1"/>
  <c r="AL203" i="1"/>
  <c r="AI97" i="1"/>
  <c r="AI107" i="1"/>
  <c r="AL334" i="1"/>
  <c r="AK21" i="1"/>
  <c r="AK30" i="1"/>
  <c r="AH42" i="1"/>
  <c r="AL107" i="1"/>
  <c r="AK109" i="1"/>
  <c r="AG136" i="1"/>
  <c r="AK138" i="1"/>
  <c r="AM161" i="1"/>
  <c r="AG169" i="1"/>
  <c r="AG182" i="1"/>
  <c r="AK200" i="1"/>
  <c r="AG199" i="1"/>
  <c r="AL223" i="1"/>
  <c r="AK267" i="1"/>
  <c r="AH270" i="1"/>
  <c r="AI339" i="1"/>
  <c r="AG42" i="1"/>
  <c r="AH59" i="1"/>
  <c r="AH109" i="1"/>
  <c r="AG150" i="1"/>
  <c r="AG52" i="1"/>
  <c r="AM114" i="1"/>
  <c r="AG123" i="1"/>
  <c r="AK157" i="1"/>
  <c r="AI169" i="1"/>
  <c r="AG180" i="1"/>
  <c r="AI182" i="1"/>
  <c r="AH210" i="1"/>
  <c r="AK230" i="1"/>
  <c r="AK231" i="1" s="1"/>
  <c r="AC237" i="1"/>
  <c r="AG244" i="1"/>
  <c r="AI270" i="1"/>
  <c r="AI272" i="1"/>
  <c r="AI274" i="1"/>
  <c r="AG313" i="1"/>
  <c r="AG336" i="1"/>
  <c r="AL339" i="1"/>
  <c r="AI44" i="1"/>
  <c r="AL115" i="1"/>
  <c r="AK161" i="1"/>
  <c r="AI42" i="1"/>
  <c r="AG9" i="1"/>
  <c r="AG24" i="1"/>
  <c r="AH178" i="1"/>
  <c r="AH202" i="1"/>
  <c r="AG204" i="1"/>
  <c r="AH207" i="1"/>
  <c r="AK210" i="1"/>
  <c r="AG236" i="1"/>
  <c r="AC254" i="1"/>
  <c r="AG251" i="1"/>
  <c r="AK259" i="1"/>
  <c r="AC260" i="1"/>
  <c r="AG282" i="1"/>
  <c r="AG295" i="1"/>
  <c r="AG323" i="1"/>
  <c r="Y346" i="1"/>
  <c r="AH336" i="1"/>
  <c r="AG342" i="1"/>
  <c r="AG12" i="1"/>
  <c r="AG18" i="1"/>
  <c r="AM50" i="1"/>
  <c r="AH54" i="1"/>
  <c r="AH94" i="1"/>
  <c r="AG96" i="1"/>
  <c r="AH100" i="1"/>
  <c r="AG102" i="1"/>
  <c r="AG119" i="1"/>
  <c r="AH123" i="1"/>
  <c r="AG125" i="1"/>
  <c r="AG127" i="1"/>
  <c r="AG129" i="1"/>
  <c r="AG148" i="1"/>
  <c r="AG171" i="1"/>
  <c r="AG173" i="1"/>
  <c r="AE47" i="1"/>
  <c r="AE48" i="1" s="1"/>
  <c r="AL45" i="1"/>
  <c r="AL52" i="1"/>
  <c r="AK54" i="1"/>
  <c r="AK58" i="1"/>
  <c r="AH92" i="1"/>
  <c r="AM94" i="1"/>
  <c r="AH96" i="1"/>
  <c r="AG98" i="1"/>
  <c r="AK100" i="1"/>
  <c r="AH102" i="1"/>
  <c r="AI123" i="1"/>
  <c r="AH127" i="1"/>
  <c r="AK143" i="1"/>
  <c r="AK145" i="1" s="1"/>
  <c r="AD164" i="1"/>
  <c r="AM169" i="1"/>
  <c r="AH171" i="1"/>
  <c r="AG197" i="1"/>
  <c r="AC265" i="1"/>
  <c r="AK263" i="1"/>
  <c r="AK265" i="1" s="1"/>
  <c r="AG332" i="1"/>
  <c r="AH265" i="1"/>
  <c r="AM342" i="1"/>
  <c r="AI93" i="1"/>
  <c r="AC32" i="1"/>
  <c r="AM58" i="1"/>
  <c r="AM96" i="1"/>
  <c r="AM102" i="1"/>
  <c r="AM171" i="1"/>
  <c r="AC248" i="1"/>
  <c r="AH334" i="1"/>
  <c r="W346" i="1"/>
  <c r="W297" i="1"/>
  <c r="W276" i="1"/>
  <c r="W238" i="1"/>
  <c r="W213" i="1"/>
  <c r="AI140" i="1"/>
  <c r="W131" i="1"/>
  <c r="AA48" i="1"/>
  <c r="W48" i="1"/>
  <c r="W33" i="1"/>
  <c r="AA189" i="1"/>
  <c r="AA346" i="1"/>
  <c r="AA116" i="1"/>
  <c r="AA131" i="1" s="1"/>
  <c r="AA33" i="1"/>
  <c r="AA176" i="1"/>
  <c r="AA140" i="1"/>
  <c r="AA165" i="1" s="1"/>
  <c r="K85" i="1"/>
  <c r="K86" i="1" s="1"/>
  <c r="AH25" i="1"/>
  <c r="AE13" i="1"/>
  <c r="AE14" i="1" s="1"/>
  <c r="I33" i="1"/>
  <c r="I85" i="1" s="1"/>
  <c r="I86" i="1" s="1"/>
  <c r="AC27" i="1"/>
  <c r="AL25" i="1"/>
  <c r="AE32" i="1"/>
  <c r="AC47" i="1"/>
  <c r="AG41" i="1"/>
  <c r="AH44" i="1"/>
  <c r="AG51" i="1"/>
  <c r="AG56" i="1"/>
  <c r="AD84" i="1"/>
  <c r="AL81" i="1"/>
  <c r="AL84" i="1" s="1"/>
  <c r="AL85" i="1" s="1"/>
  <c r="AL86" i="1" s="1"/>
  <c r="W165" i="1"/>
  <c r="AM12" i="1"/>
  <c r="AM20" i="1"/>
  <c r="AI20" i="1"/>
  <c r="AG29" i="1"/>
  <c r="AH37" i="1"/>
  <c r="AH39" i="1" s="1"/>
  <c r="AG46" i="1"/>
  <c r="AM84" i="1"/>
  <c r="AM85" i="1" s="1"/>
  <c r="AM86" i="1" s="1"/>
  <c r="AE130" i="1"/>
  <c r="AI118" i="1"/>
  <c r="AM118" i="1"/>
  <c r="AI124" i="1"/>
  <c r="AM124" i="1"/>
  <c r="AI128" i="1"/>
  <c r="AM128" i="1"/>
  <c r="AM30" i="1"/>
  <c r="AI30" i="1"/>
  <c r="AE62" i="1"/>
  <c r="AI59" i="1"/>
  <c r="AE22" i="1"/>
  <c r="AM17" i="1"/>
  <c r="AL64" i="1"/>
  <c r="AD66" i="1"/>
  <c r="AH64" i="1"/>
  <c r="AE66" i="1"/>
  <c r="AI11" i="1"/>
  <c r="AM43" i="1"/>
  <c r="AI43" i="1"/>
  <c r="AC62" i="1"/>
  <c r="AG74" i="1"/>
  <c r="AC79" i="1"/>
  <c r="AI17" i="1"/>
  <c r="AG26" i="1"/>
  <c r="AM36" i="1"/>
  <c r="AI36" i="1"/>
  <c r="AG43" i="1"/>
  <c r="AH149" i="1"/>
  <c r="AL149" i="1"/>
  <c r="AI109" i="1"/>
  <c r="AH50" i="1"/>
  <c r="AI61" i="1"/>
  <c r="AM65" i="1"/>
  <c r="AC71" i="1"/>
  <c r="AG36" i="1"/>
  <c r="AG39" i="1" s="1"/>
  <c r="AK50" i="1"/>
  <c r="AK61" i="1"/>
  <c r="AE71" i="1"/>
  <c r="AK82" i="1"/>
  <c r="AK84" i="1" s="1"/>
  <c r="AK85" i="1" s="1"/>
  <c r="AK86" i="1" s="1"/>
  <c r="AG82" i="1"/>
  <c r="AC84" i="1"/>
  <c r="AK108" i="1"/>
  <c r="AG108" i="1"/>
  <c r="AH119" i="1"/>
  <c r="AL119" i="1"/>
  <c r="AD130" i="1"/>
  <c r="AL125" i="1"/>
  <c r="AH125" i="1"/>
  <c r="AH129" i="1"/>
  <c r="AL129" i="1"/>
  <c r="I165" i="1"/>
  <c r="AD62" i="1"/>
  <c r="AL61" i="1"/>
  <c r="AH61" i="1"/>
  <c r="AG94" i="1"/>
  <c r="AK94" i="1"/>
  <c r="AK19" i="1"/>
  <c r="AG19" i="1"/>
  <c r="Q85" i="1"/>
  <c r="Q86" i="1" s="1"/>
  <c r="AH19" i="1"/>
  <c r="Y33" i="1"/>
  <c r="Y85" i="1" s="1"/>
  <c r="Y86" i="1" s="1"/>
  <c r="AL43" i="1"/>
  <c r="AK45" i="1"/>
  <c r="AM52" i="1"/>
  <c r="AI52" i="1"/>
  <c r="AH57" i="1"/>
  <c r="AC66" i="1"/>
  <c r="AG64" i="1"/>
  <c r="AM70" i="1"/>
  <c r="M151" i="1"/>
  <c r="M165" i="1" s="1"/>
  <c r="AE147" i="1"/>
  <c r="AD147" i="1"/>
  <c r="AC147" i="1"/>
  <c r="AG99" i="1"/>
  <c r="AK99" i="1"/>
  <c r="AI73" i="1"/>
  <c r="AE79" i="1"/>
  <c r="AH101" i="1"/>
  <c r="AL101" i="1"/>
  <c r="AG7" i="1"/>
  <c r="AC13" i="1"/>
  <c r="AC14" i="1" s="1"/>
  <c r="AM9" i="1"/>
  <c r="AK25" i="1"/>
  <c r="AD32" i="1"/>
  <c r="AL30" i="1"/>
  <c r="AM56" i="1"/>
  <c r="AI56" i="1"/>
  <c r="AK64" i="1"/>
  <c r="AH93" i="1"/>
  <c r="AL93" i="1"/>
  <c r="AH103" i="1"/>
  <c r="AL103" i="1"/>
  <c r="AM113" i="1"/>
  <c r="AL113" i="1"/>
  <c r="AG137" i="1"/>
  <c r="AK137" i="1"/>
  <c r="AL7" i="1"/>
  <c r="AH7" i="1"/>
  <c r="AL12" i="1"/>
  <c r="AG75" i="1"/>
  <c r="AL111" i="1"/>
  <c r="AC130" i="1"/>
  <c r="AG118" i="1"/>
  <c r="AM188" i="1"/>
  <c r="AI188" i="1"/>
  <c r="M276" i="1"/>
  <c r="AE27" i="1"/>
  <c r="AI41" i="1"/>
  <c r="AH69" i="1"/>
  <c r="AH71" i="1" s="1"/>
  <c r="AK126" i="1"/>
  <c r="AM143" i="1"/>
  <c r="AM149" i="1"/>
  <c r="AL161" i="1"/>
  <c r="AL164" i="1" s="1"/>
  <c r="S213" i="1"/>
  <c r="AM180" i="1"/>
  <c r="AM183" i="1" s="1"/>
  <c r="AK194" i="1"/>
  <c r="AE195" i="1"/>
  <c r="O212" i="1"/>
  <c r="O213" i="1" s="1"/>
  <c r="AD205" i="1"/>
  <c r="AE205" i="1"/>
  <c r="AC205" i="1"/>
  <c r="AL211" i="1"/>
  <c r="AM256" i="1"/>
  <c r="AE260" i="1"/>
  <c r="AI256" i="1"/>
  <c r="AG280" i="1"/>
  <c r="AK280" i="1"/>
  <c r="AE164" i="1"/>
  <c r="AH199" i="1"/>
  <c r="AD200" i="1"/>
  <c r="AI252" i="1"/>
  <c r="AI254" i="1" s="1"/>
  <c r="AE254" i="1"/>
  <c r="AM252" i="1"/>
  <c r="AH295" i="1"/>
  <c r="AH296" i="1" s="1"/>
  <c r="AL295" i="1"/>
  <c r="AL296" i="1" s="1"/>
  <c r="AD296" i="1"/>
  <c r="AH148" i="1"/>
  <c r="AH158" i="1"/>
  <c r="AM163" i="1"/>
  <c r="AD265" i="1"/>
  <c r="AE285" i="1"/>
  <c r="AC314" i="1"/>
  <c r="AG310" i="1"/>
  <c r="AK310" i="1"/>
  <c r="AK118" i="1"/>
  <c r="AK128" i="1"/>
  <c r="AM153" i="1"/>
  <c r="AM154" i="1" s="1"/>
  <c r="AE154" i="1"/>
  <c r="AD176" i="1"/>
  <c r="AC183" i="1"/>
  <c r="AI179" i="1"/>
  <c r="AK207" i="1"/>
  <c r="AM220" i="1"/>
  <c r="AM223" i="1" s="1"/>
  <c r="AI220" i="1"/>
  <c r="AK257" i="1"/>
  <c r="AG257" i="1"/>
  <c r="AI308" i="1"/>
  <c r="AE314" i="1"/>
  <c r="AM308" i="1"/>
  <c r="AC116" i="1"/>
  <c r="AC140" i="1"/>
  <c r="AG172" i="1"/>
  <c r="AK179" i="1"/>
  <c r="AI185" i="1"/>
  <c r="AE189" i="1"/>
  <c r="AM185" i="1"/>
  <c r="AM207" i="1"/>
  <c r="AL230" i="1"/>
  <c r="AL231" i="1" s="1"/>
  <c r="AH230" i="1"/>
  <c r="AE248" i="1"/>
  <c r="AM242" i="1"/>
  <c r="AI242" i="1"/>
  <c r="AL142" i="1"/>
  <c r="AM195" i="1"/>
  <c r="AI210" i="1"/>
  <c r="AM210" i="1"/>
  <c r="AD140" i="1"/>
  <c r="AK139" i="1"/>
  <c r="AE140" i="1"/>
  <c r="AM142" i="1"/>
  <c r="AD145" i="1"/>
  <c r="AG159" i="1"/>
  <c r="AK159" i="1"/>
  <c r="AE183" i="1"/>
  <c r="AL199" i="1"/>
  <c r="AL200" i="1" s="1"/>
  <c r="AH206" i="1"/>
  <c r="AL206" i="1"/>
  <c r="AL247" i="1"/>
  <c r="AH247" i="1"/>
  <c r="AC324" i="1"/>
  <c r="AK319" i="1"/>
  <c r="AG319" i="1"/>
  <c r="Y116" i="1"/>
  <c r="Y131" i="1" s="1"/>
  <c r="AH74" i="1"/>
  <c r="AH79" i="1" s="1"/>
  <c r="AG83" i="1"/>
  <c r="AE116" i="1"/>
  <c r="AE131" i="1" s="1"/>
  <c r="AM98" i="1"/>
  <c r="AM111" i="1"/>
  <c r="AD116" i="1"/>
  <c r="AK121" i="1"/>
  <c r="AM136" i="1"/>
  <c r="AL144" i="1"/>
  <c r="AH157" i="1"/>
  <c r="AH169" i="1"/>
  <c r="AG178" i="1"/>
  <c r="AK181" i="1"/>
  <c r="AK187" i="1"/>
  <c r="AI191" i="1"/>
  <c r="AL244" i="1"/>
  <c r="AK253" i="1"/>
  <c r="AK254" i="1" s="1"/>
  <c r="AG253" i="1"/>
  <c r="AL204" i="1"/>
  <c r="AC223" i="1"/>
  <c r="AK217" i="1"/>
  <c r="AG217" i="1"/>
  <c r="AK222" i="1"/>
  <c r="AG222" i="1"/>
  <c r="AG243" i="1"/>
  <c r="AK243" i="1"/>
  <c r="AH112" i="1"/>
  <c r="AL112" i="1"/>
  <c r="AH192" i="1"/>
  <c r="AL192" i="1"/>
  <c r="AI202" i="1"/>
  <c r="AD223" i="1"/>
  <c r="AH217" i="1"/>
  <c r="AD254" i="1"/>
  <c r="AH250" i="1"/>
  <c r="AL174" i="1"/>
  <c r="AL186" i="1"/>
  <c r="AH186" i="1"/>
  <c r="AE223" i="1"/>
  <c r="AL245" i="1"/>
  <c r="AH245" i="1"/>
  <c r="AL330" i="1"/>
  <c r="AL105" i="1"/>
  <c r="AL140" i="1"/>
  <c r="AM135" i="1"/>
  <c r="O165" i="1"/>
  <c r="AC145" i="1"/>
  <c r="AK149" i="1"/>
  <c r="AM159" i="1"/>
  <c r="AD183" i="1"/>
  <c r="AC189" i="1"/>
  <c r="AH204" i="1"/>
  <c r="K276" i="1"/>
  <c r="AM281" i="1"/>
  <c r="AC209" i="1"/>
  <c r="AE209" i="1"/>
  <c r="AD209" i="1"/>
  <c r="AL236" i="1"/>
  <c r="AM92" i="1"/>
  <c r="AK192" i="1"/>
  <c r="AK220" i="1"/>
  <c r="AG220" i="1"/>
  <c r="AM271" i="1"/>
  <c r="AI271" i="1"/>
  <c r="AL274" i="1"/>
  <c r="AK292" i="1"/>
  <c r="AK296" i="1" s="1"/>
  <c r="AK304" i="1"/>
  <c r="Q346" i="1"/>
  <c r="AM328" i="1"/>
  <c r="AM330" i="1" s="1"/>
  <c r="AI328" i="1"/>
  <c r="AI330" i="1" s="1"/>
  <c r="AM332" i="1"/>
  <c r="AM334" i="1" s="1"/>
  <c r="AE334" i="1"/>
  <c r="AI332" i="1"/>
  <c r="AI334" i="1" s="1"/>
  <c r="AM336" i="1"/>
  <c r="AI336" i="1"/>
  <c r="AK163" i="1"/>
  <c r="AC164" i="1"/>
  <c r="AM173" i="1"/>
  <c r="AM176" i="1" s="1"/>
  <c r="AL180" i="1"/>
  <c r="AK242" i="1"/>
  <c r="AG242" i="1"/>
  <c r="AK269" i="1"/>
  <c r="AM280" i="1"/>
  <c r="AI280" i="1"/>
  <c r="AI285" i="1" s="1"/>
  <c r="AK284" i="1"/>
  <c r="AC296" i="1"/>
  <c r="AG290" i="1"/>
  <c r="AE324" i="1"/>
  <c r="AE301" i="1"/>
  <c r="AC301" i="1"/>
  <c r="M306" i="1"/>
  <c r="M315" i="1" s="1"/>
  <c r="S315" i="1"/>
  <c r="AE275" i="1"/>
  <c r="AI267" i="1"/>
  <c r="I297" i="1"/>
  <c r="AM290" i="1"/>
  <c r="AM296" i="1" s="1"/>
  <c r="AI290" i="1"/>
  <c r="AE296" i="1"/>
  <c r="AD301" i="1"/>
  <c r="AI178" i="1"/>
  <c r="AH182" i="1"/>
  <c r="AK185" i="1"/>
  <c r="AH191" i="1"/>
  <c r="AD195" i="1"/>
  <c r="AM204" i="1"/>
  <c r="AE225" i="1"/>
  <c r="AC225" i="1"/>
  <c r="AC231" i="1"/>
  <c r="AE234" i="1"/>
  <c r="AE237" i="1" s="1"/>
  <c r="AD234" i="1"/>
  <c r="O237" i="1"/>
  <c r="O238" i="1" s="1"/>
  <c r="O276" i="1"/>
  <c r="AE265" i="1"/>
  <c r="AM263" i="1"/>
  <c r="AM265" i="1" s="1"/>
  <c r="AK273" i="1"/>
  <c r="K297" i="1"/>
  <c r="AK305" i="1"/>
  <c r="AG305" i="1"/>
  <c r="AI313" i="1"/>
  <c r="AL321" i="1"/>
  <c r="AL324" i="1" s="1"/>
  <c r="AD324" i="1"/>
  <c r="AG293" i="1"/>
  <c r="AH327" i="1"/>
  <c r="AE340" i="1"/>
  <c r="AE345" i="1" s="1"/>
  <c r="AC340" i="1"/>
  <c r="AC176" i="1"/>
  <c r="AL188" i="1"/>
  <c r="AG234" i="1"/>
  <c r="S276" i="1"/>
  <c r="AL309" i="1"/>
  <c r="AH309" i="1"/>
  <c r="K345" i="1"/>
  <c r="K346" i="1" s="1"/>
  <c r="AD337" i="1"/>
  <c r="AC337" i="1"/>
  <c r="S238" i="1"/>
  <c r="AD225" i="1"/>
  <c r="AD231" i="1"/>
  <c r="AH229" i="1"/>
  <c r="AM267" i="1"/>
  <c r="AM320" i="1"/>
  <c r="AM324" i="1" s="1"/>
  <c r="AI320" i="1"/>
  <c r="AD330" i="1"/>
  <c r="AD340" i="1"/>
  <c r="AM337" i="1"/>
  <c r="AI337" i="1"/>
  <c r="AK92" i="1"/>
  <c r="AG202" i="1"/>
  <c r="AM243" i="1"/>
  <c r="AI243" i="1"/>
  <c r="AH256" i="1"/>
  <c r="AH260" i="1" s="1"/>
  <c r="AD260" i="1"/>
  <c r="AL264" i="1"/>
  <c r="AL265" i="1" s="1"/>
  <c r="AL272" i="1"/>
  <c r="AD275" i="1"/>
  <c r="AK281" i="1"/>
  <c r="AL287" i="1"/>
  <c r="AL288" i="1" s="1"/>
  <c r="I315" i="1"/>
  <c r="AD314" i="1"/>
  <c r="M346" i="1"/>
  <c r="AH326" i="1"/>
  <c r="AL313" i="1"/>
  <c r="AG321" i="1"/>
  <c r="AK322" i="1"/>
  <c r="AK326" i="1"/>
  <c r="AK330" i="1" s="1"/>
  <c r="AG329" i="1"/>
  <c r="AG330" i="1" s="1"/>
  <c r="AG333" i="1"/>
  <c r="AG339" i="1"/>
  <c r="AK341" i="1"/>
  <c r="AG344" i="1"/>
  <c r="AA220" i="1"/>
  <c r="AA223" i="1" s="1"/>
  <c r="AA238" i="1" s="1"/>
  <c r="AD248" i="1"/>
  <c r="AH344" i="1"/>
  <c r="AI344" i="1"/>
  <c r="AC330" i="1"/>
  <c r="AK333" i="1"/>
  <c r="AK334" i="1" s="1"/>
  <c r="AH343" i="1"/>
  <c r="AM287" i="1"/>
  <c r="AM288" i="1" s="1"/>
  <c r="AI343" i="1"/>
  <c r="AH319" i="1"/>
  <c r="AH342" i="1"/>
  <c r="AC275" i="1"/>
  <c r="AH324" i="1" l="1"/>
  <c r="AI27" i="1"/>
  <c r="AD48" i="1"/>
  <c r="AK195" i="1"/>
  <c r="AG265" i="1"/>
  <c r="AH285" i="1"/>
  <c r="AH297" i="1" s="1"/>
  <c r="AI84" i="1"/>
  <c r="AH223" i="1"/>
  <c r="Q347" i="1"/>
  <c r="AH200" i="1"/>
  <c r="AI296" i="1"/>
  <c r="AI297" i="1" s="1"/>
  <c r="AI195" i="1"/>
  <c r="AH189" i="1"/>
  <c r="AG164" i="1"/>
  <c r="AG254" i="1"/>
  <c r="AI265" i="1"/>
  <c r="AH314" i="1"/>
  <c r="AI324" i="1"/>
  <c r="M85" i="1"/>
  <c r="M86" i="1" s="1"/>
  <c r="O85" i="1"/>
  <c r="O86" i="1" s="1"/>
  <c r="S85" i="1"/>
  <c r="S86" i="1" s="1"/>
  <c r="AG22" i="1"/>
  <c r="AH13" i="1"/>
  <c r="AH14" i="1" s="1"/>
  <c r="AI13" i="1"/>
  <c r="AI14" i="1" s="1"/>
  <c r="AC297" i="1"/>
  <c r="AH254" i="1"/>
  <c r="AM254" i="1"/>
  <c r="AM189" i="1"/>
  <c r="AI223" i="1"/>
  <c r="AG237" i="1"/>
  <c r="AH140" i="1"/>
  <c r="AD131" i="1"/>
  <c r="AH84" i="1"/>
  <c r="AL183" i="1"/>
  <c r="AK260" i="1"/>
  <c r="AG195" i="1"/>
  <c r="AG314" i="1"/>
  <c r="AM130" i="1"/>
  <c r="AH32" i="1"/>
  <c r="AE346" i="1"/>
  <c r="AC48" i="1"/>
  <c r="AG32" i="1"/>
  <c r="AI176" i="1"/>
  <c r="AD33" i="1"/>
  <c r="AD85" i="1" s="1"/>
  <c r="AD86" i="1" s="1"/>
  <c r="AK176" i="1"/>
  <c r="AL275" i="1"/>
  <c r="AM314" i="1"/>
  <c r="AC212" i="1"/>
  <c r="AC213" i="1" s="1"/>
  <c r="AL195" i="1"/>
  <c r="AH27" i="1"/>
  <c r="AG140" i="1"/>
  <c r="AH248" i="1"/>
  <c r="AM275" i="1"/>
  <c r="AI248" i="1"/>
  <c r="AL176" i="1"/>
  <c r="AG285" i="1"/>
  <c r="AG27" i="1"/>
  <c r="AI32" i="1"/>
  <c r="AI260" i="1"/>
  <c r="S347" i="1"/>
  <c r="S348" i="1" s="1"/>
  <c r="S349" i="1" s="1"/>
  <c r="AH183" i="1"/>
  <c r="AH164" i="1"/>
  <c r="AM260" i="1"/>
  <c r="AI79" i="1"/>
  <c r="AG84" i="1"/>
  <c r="Y347" i="1"/>
  <c r="Y348" i="1" s="1"/>
  <c r="Y349" i="1" s="1"/>
  <c r="AC276" i="1"/>
  <c r="AK314" i="1"/>
  <c r="AM145" i="1"/>
  <c r="AD297" i="1"/>
  <c r="AH62" i="1"/>
  <c r="AG47" i="1"/>
  <c r="AG48" i="1" s="1"/>
  <c r="AG200" i="1"/>
  <c r="AL297" i="1"/>
  <c r="I347" i="1"/>
  <c r="AI164" i="1"/>
  <c r="AC33" i="1"/>
  <c r="AC85" i="1" s="1"/>
  <c r="AC86" i="1" s="1"/>
  <c r="AK183" i="1"/>
  <c r="AH231" i="1"/>
  <c r="AM164" i="1"/>
  <c r="AL189" i="1"/>
  <c r="AG176" i="1"/>
  <c r="AH22" i="1"/>
  <c r="AI39" i="1"/>
  <c r="AH275" i="1"/>
  <c r="O347" i="1"/>
  <c r="AL130" i="1"/>
  <c r="AI22" i="1"/>
  <c r="AG275" i="1"/>
  <c r="AK116" i="1"/>
  <c r="AG248" i="1"/>
  <c r="AG334" i="1"/>
  <c r="AL248" i="1"/>
  <c r="AI116" i="1"/>
  <c r="AH47" i="1"/>
  <c r="AH48" i="1" s="1"/>
  <c r="AG183" i="1"/>
  <c r="AK140" i="1"/>
  <c r="AL314" i="1"/>
  <c r="AM140" i="1"/>
  <c r="AH176" i="1"/>
  <c r="AK164" i="1"/>
  <c r="AM248" i="1"/>
  <c r="AM276" i="1" s="1"/>
  <c r="AI47" i="1"/>
  <c r="AE212" i="1"/>
  <c r="AE213" i="1" s="1"/>
  <c r="AC131" i="1"/>
  <c r="AK285" i="1"/>
  <c r="AK297" i="1" s="1"/>
  <c r="M347" i="1"/>
  <c r="M348" i="1" s="1"/>
  <c r="M349" i="1" s="1"/>
  <c r="AG260" i="1"/>
  <c r="AG130" i="1"/>
  <c r="AG13" i="1"/>
  <c r="AG14" i="1" s="1"/>
  <c r="AK275" i="1"/>
  <c r="AG116" i="1"/>
  <c r="AL116" i="1"/>
  <c r="AL131" i="1" s="1"/>
  <c r="AH116" i="1"/>
  <c r="AG223" i="1"/>
  <c r="AH195" i="1"/>
  <c r="AI189" i="1"/>
  <c r="AI183" i="1"/>
  <c r="W347" i="1"/>
  <c r="AH130" i="1"/>
  <c r="AI130" i="1"/>
  <c r="AA85" i="1"/>
  <c r="AA86" i="1" s="1"/>
  <c r="W85" i="1"/>
  <c r="W86" i="1" s="1"/>
  <c r="AA213" i="1"/>
  <c r="AA347" i="1" s="1"/>
  <c r="K347" i="1"/>
  <c r="K348" i="1" s="1"/>
  <c r="K349" i="1" s="1"/>
  <c r="I348" i="1"/>
  <c r="I349" i="1" s="1"/>
  <c r="AH340" i="1"/>
  <c r="AL340" i="1"/>
  <c r="AK337" i="1"/>
  <c r="AC345" i="1"/>
  <c r="AC346" i="1" s="1"/>
  <c r="AG337" i="1"/>
  <c r="AM340" i="1"/>
  <c r="AM345" i="1" s="1"/>
  <c r="AM346" i="1" s="1"/>
  <c r="AI340" i="1"/>
  <c r="AI345" i="1" s="1"/>
  <c r="AK225" i="1"/>
  <c r="AK227" i="1" s="1"/>
  <c r="AC227" i="1"/>
  <c r="AG225" i="1"/>
  <c r="AG227" i="1" s="1"/>
  <c r="AD306" i="1"/>
  <c r="AD315" i="1" s="1"/>
  <c r="AL301" i="1"/>
  <c r="AL306" i="1" s="1"/>
  <c r="AH301" i="1"/>
  <c r="AH306" i="1" s="1"/>
  <c r="AH315" i="1" s="1"/>
  <c r="AM301" i="1"/>
  <c r="AM306" i="1" s="1"/>
  <c r="AI301" i="1"/>
  <c r="AI306" i="1" s="1"/>
  <c r="AE306" i="1"/>
  <c r="AE315" i="1" s="1"/>
  <c r="AL147" i="1"/>
  <c r="AL151" i="1" s="1"/>
  <c r="AH147" i="1"/>
  <c r="AH151" i="1" s="1"/>
  <c r="AD151" i="1"/>
  <c r="AD165" i="1" s="1"/>
  <c r="AE151" i="1"/>
  <c r="AE165" i="1" s="1"/>
  <c r="AI147" i="1"/>
  <c r="AI151" i="1" s="1"/>
  <c r="AM147" i="1"/>
  <c r="AM151" i="1" s="1"/>
  <c r="AM225" i="1"/>
  <c r="AM227" i="1" s="1"/>
  <c r="AE227" i="1"/>
  <c r="AE238" i="1" s="1"/>
  <c r="AI225" i="1"/>
  <c r="AI227" i="1" s="1"/>
  <c r="AG296" i="1"/>
  <c r="AM209" i="1"/>
  <c r="AI209" i="1"/>
  <c r="AK223" i="1"/>
  <c r="AD276" i="1"/>
  <c r="AH330" i="1"/>
  <c r="AK209" i="1"/>
  <c r="AG209" i="1"/>
  <c r="AC238" i="1"/>
  <c r="AG79" i="1"/>
  <c r="AL209" i="1"/>
  <c r="AH209" i="1"/>
  <c r="AK130" i="1"/>
  <c r="AI275" i="1"/>
  <c r="AG324" i="1"/>
  <c r="AL145" i="1"/>
  <c r="AE33" i="1"/>
  <c r="AE85" i="1" s="1"/>
  <c r="AE86" i="1" s="1"/>
  <c r="AL337" i="1"/>
  <c r="AH337" i="1"/>
  <c r="Q348" i="1"/>
  <c r="Q349" i="1" s="1"/>
  <c r="AK189" i="1"/>
  <c r="AD212" i="1"/>
  <c r="AD213" i="1" s="1"/>
  <c r="AM285" i="1"/>
  <c r="AM297" i="1" s="1"/>
  <c r="AK324" i="1"/>
  <c r="AD345" i="1"/>
  <c r="AI62" i="1"/>
  <c r="AE297" i="1"/>
  <c r="AD227" i="1"/>
  <c r="AH225" i="1"/>
  <c r="AH227" i="1" s="1"/>
  <c r="AL225" i="1"/>
  <c r="AL227" i="1" s="1"/>
  <c r="AH234" i="1"/>
  <c r="AH237" i="1" s="1"/>
  <c r="AD237" i="1"/>
  <c r="AL234" i="1"/>
  <c r="AL237" i="1" s="1"/>
  <c r="AK248" i="1"/>
  <c r="AE276" i="1"/>
  <c r="AK205" i="1"/>
  <c r="AG205" i="1"/>
  <c r="AD346" i="1"/>
  <c r="AM116" i="1"/>
  <c r="AI205" i="1"/>
  <c r="AM205" i="1"/>
  <c r="AM234" i="1"/>
  <c r="AM237" i="1" s="1"/>
  <c r="AI234" i="1"/>
  <c r="AI237" i="1" s="1"/>
  <c r="AK340" i="1"/>
  <c r="AG340" i="1"/>
  <c r="AK301" i="1"/>
  <c r="AK306" i="1" s="1"/>
  <c r="AK315" i="1" s="1"/>
  <c r="AC306" i="1"/>
  <c r="AC315" i="1" s="1"/>
  <c r="AG301" i="1"/>
  <c r="AG306" i="1" s="1"/>
  <c r="AI314" i="1"/>
  <c r="AL205" i="1"/>
  <c r="AH205" i="1"/>
  <c r="AG147" i="1"/>
  <c r="AG151" i="1" s="1"/>
  <c r="AC151" i="1"/>
  <c r="AC165" i="1" s="1"/>
  <c r="AK147" i="1"/>
  <c r="AK151" i="1" s="1"/>
  <c r="AG315" i="1" l="1"/>
  <c r="O348" i="1"/>
  <c r="O349" i="1" s="1"/>
  <c r="AI346" i="1"/>
  <c r="AG276" i="1"/>
  <c r="AI165" i="1"/>
  <c r="AM131" i="1"/>
  <c r="AL315" i="1"/>
  <c r="AH33" i="1"/>
  <c r="AK131" i="1"/>
  <c r="AG33" i="1"/>
  <c r="AG165" i="1"/>
  <c r="AI48" i="1"/>
  <c r="AI85" i="1" s="1"/>
  <c r="AI86" i="1" s="1"/>
  <c r="AL276" i="1"/>
  <c r="AD238" i="1"/>
  <c r="AD347" i="1" s="1"/>
  <c r="AD348" i="1" s="1"/>
  <c r="AD349" i="1" s="1"/>
  <c r="AK345" i="1"/>
  <c r="AK346" i="1" s="1"/>
  <c r="AK165" i="1"/>
  <c r="AM315" i="1"/>
  <c r="AK212" i="1"/>
  <c r="AK213" i="1" s="1"/>
  <c r="AH165" i="1"/>
  <c r="AI276" i="1"/>
  <c r="AI33" i="1"/>
  <c r="AG297" i="1"/>
  <c r="AH276" i="1"/>
  <c r="AM165" i="1"/>
  <c r="AI131" i="1"/>
  <c r="AH131" i="1"/>
  <c r="AG131" i="1"/>
  <c r="AG212" i="1"/>
  <c r="AG213" i="1" s="1"/>
  <c r="AE347" i="1"/>
  <c r="AE348" i="1" s="1"/>
  <c r="AE349" i="1" s="1"/>
  <c r="AC347" i="1"/>
  <c r="AC348" i="1" s="1"/>
  <c r="AC349" i="1" s="1"/>
  <c r="AL212" i="1"/>
  <c r="AL213" i="1" s="1"/>
  <c r="AM238" i="1"/>
  <c r="AK276" i="1"/>
  <c r="AL165" i="1"/>
  <c r="AM212" i="1"/>
  <c r="AM213" i="1" s="1"/>
  <c r="AI212" i="1"/>
  <c r="AI213" i="1" s="1"/>
  <c r="AK238" i="1"/>
  <c r="AH345" i="1"/>
  <c r="AH346" i="1" s="1"/>
  <c r="AI315" i="1"/>
  <c r="AH238" i="1"/>
  <c r="AI238" i="1"/>
  <c r="AG238" i="1"/>
  <c r="AH212" i="1"/>
  <c r="AH213" i="1" s="1"/>
  <c r="W348" i="1"/>
  <c r="W349" i="1" s="1"/>
  <c r="AA348" i="1"/>
  <c r="AA349" i="1" s="1"/>
  <c r="AH85" i="1"/>
  <c r="AH86" i="1" s="1"/>
  <c r="AG85" i="1"/>
  <c r="AG86" i="1" s="1"/>
  <c r="AG345" i="1"/>
  <c r="AG346" i="1" s="1"/>
  <c r="AL238" i="1"/>
  <c r="AL345" i="1"/>
  <c r="AL346" i="1" s="1"/>
  <c r="AM347" i="1" l="1"/>
  <c r="AM348" i="1" s="1"/>
  <c r="AM349" i="1" s="1"/>
  <c r="AK347" i="1"/>
  <c r="AK348" i="1" s="1"/>
  <c r="AK349" i="1" s="1"/>
  <c r="AL347" i="1"/>
  <c r="AL348" i="1" s="1"/>
  <c r="AL349" i="1" s="1"/>
  <c r="AI347" i="1"/>
  <c r="AI348" i="1" s="1"/>
  <c r="AI349" i="1" s="1"/>
  <c r="AH347" i="1"/>
  <c r="AH348" i="1" s="1"/>
  <c r="AH349" i="1" s="1"/>
  <c r="AG347" i="1"/>
  <c r="AG348" i="1" s="1"/>
  <c r="AG349"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Sheena Gossett</author>
    <author>Scott Koenig</author>
    <author>skoenig</author>
  </authors>
  <commentList>
    <comment ref="W2" authorId="0" shapeId="0" xr:uid="{D60121B6-395D-4748-8F03-849A536580CE}">
      <text>
        <r>
          <rPr>
            <b/>
            <sz val="9"/>
            <color indexed="81"/>
            <rFont val="Tahoma"/>
            <family val="2"/>
          </rPr>
          <t>Sheena Gossett:</t>
        </r>
        <r>
          <rPr>
            <sz val="9"/>
            <color indexed="81"/>
            <rFont val="Tahoma"/>
            <family val="2"/>
          </rPr>
          <t xml:space="preserve">
As of 01.31.21.</t>
        </r>
      </text>
    </comment>
    <comment ref="Y7" authorId="1" shapeId="0" xr:uid="{E96625FE-0873-40E4-9069-E7B2B5E54FAE}">
      <text>
        <r>
          <rPr>
            <b/>
            <sz val="9"/>
            <color indexed="81"/>
            <rFont val="Tahoma"/>
            <family val="2"/>
          </rPr>
          <t>Scott Koenig:</t>
        </r>
        <r>
          <rPr>
            <sz val="9"/>
            <color indexed="81"/>
            <rFont val="Tahoma"/>
            <family val="2"/>
          </rPr>
          <t xml:space="preserve">
$630,000 seems reasonable as of 2/25/2020.  $600K discussed at 3/07/2020.  3/16/2020 - Use $605K - SDK
</t>
        </r>
      </text>
    </comment>
    <comment ref="AA7" authorId="0" shapeId="0" xr:uid="{D9363377-1718-4A70-8817-3B544A5C084A}">
      <text>
        <r>
          <rPr>
            <b/>
            <sz val="9"/>
            <color indexed="81"/>
            <rFont val="Tahoma"/>
            <family val="2"/>
          </rPr>
          <t>Sheena Gossett:</t>
        </r>
        <r>
          <rPr>
            <sz val="9"/>
            <color indexed="81"/>
            <rFont val="Tahoma"/>
            <family val="2"/>
          </rPr>
          <t xml:space="preserve">
23% higher than FY21 Budget
7% higher than 5 year average</t>
        </r>
      </text>
    </comment>
    <comment ref="Y9" authorId="1" shapeId="0" xr:uid="{A9021FB8-B58F-460E-AE84-28B64FA86AE1}">
      <text>
        <r>
          <rPr>
            <b/>
            <sz val="9"/>
            <color indexed="81"/>
            <rFont val="Tahoma"/>
            <family val="2"/>
          </rPr>
          <t>Scott Koenig:</t>
        </r>
        <r>
          <rPr>
            <sz val="9"/>
            <color indexed="81"/>
            <rFont val="Tahoma"/>
            <family val="2"/>
          </rPr>
          <t xml:space="preserve">
$475K discussed at 03/07/2020 meeting.</t>
        </r>
      </text>
    </comment>
    <comment ref="AA9" authorId="0" shapeId="0" xr:uid="{E9AA7A4C-BE45-4658-9676-4C5ED33AD69E}">
      <text>
        <r>
          <rPr>
            <b/>
            <sz val="9"/>
            <color indexed="81"/>
            <rFont val="Tahoma"/>
            <family val="2"/>
          </rPr>
          <t>Sheena Gossett:</t>
        </r>
        <r>
          <rPr>
            <sz val="9"/>
            <color indexed="81"/>
            <rFont val="Tahoma"/>
            <family val="2"/>
          </rPr>
          <t xml:space="preserve">
Raised by 10k based on Mayor thoughts</t>
        </r>
      </text>
    </comment>
    <comment ref="Y11" authorId="1" shapeId="0" xr:uid="{63C6FABB-40BC-4049-B0EC-59C496853D2A}">
      <text>
        <r>
          <rPr>
            <b/>
            <sz val="9"/>
            <color indexed="81"/>
            <rFont val="Tahoma"/>
            <family val="2"/>
          </rPr>
          <t>Scott Koenig:</t>
        </r>
        <r>
          <rPr>
            <sz val="9"/>
            <color indexed="81"/>
            <rFont val="Tahoma"/>
            <family val="2"/>
          </rPr>
          <t xml:space="preserve">
$57,350 is 3-year average.</t>
        </r>
      </text>
    </comment>
    <comment ref="Y20" authorId="1" shapeId="0" xr:uid="{96507698-8D8C-450D-B00D-291FBA3C8B24}">
      <text>
        <r>
          <rPr>
            <b/>
            <sz val="9"/>
            <color indexed="81"/>
            <rFont val="Tahoma"/>
            <family val="2"/>
          </rPr>
          <t>Scott Koenig:</t>
        </r>
        <r>
          <rPr>
            <sz val="9"/>
            <color indexed="81"/>
            <rFont val="Tahoma"/>
            <family val="2"/>
          </rPr>
          <t xml:space="preserve">
Increased from $225,000 to $227,500 on 02/24/2020.</t>
        </r>
      </text>
    </comment>
    <comment ref="AA21" authorId="0" shapeId="0" xr:uid="{E85449CD-DC4B-4019-971B-6E635722E466}">
      <text>
        <r>
          <rPr>
            <b/>
            <sz val="9"/>
            <color indexed="81"/>
            <rFont val="Tahoma"/>
            <family val="2"/>
          </rPr>
          <t>Sheena Gossett:</t>
        </r>
        <r>
          <rPr>
            <sz val="9"/>
            <color indexed="81"/>
            <rFont val="Tahoma"/>
            <family val="2"/>
          </rPr>
          <t xml:space="preserve">
No longer needed</t>
        </r>
      </text>
    </comment>
    <comment ref="Y24" authorId="1" shapeId="0" xr:uid="{F067F8A3-379B-40AC-895F-5C9C5DA9BEA5}">
      <text>
        <r>
          <rPr>
            <b/>
            <sz val="9"/>
            <color indexed="81"/>
            <rFont val="Tahoma"/>
            <family val="2"/>
          </rPr>
          <t>Scott Koenig:</t>
        </r>
        <r>
          <rPr>
            <sz val="9"/>
            <color indexed="81"/>
            <rFont val="Tahoma"/>
            <family val="2"/>
          </rPr>
          <t xml:space="preserve">
Use 800 permits X $250.00 = $200,000 and 800 permits x $150.00 = $120,000; Total = $320,000</t>
        </r>
      </text>
    </comment>
    <comment ref="AA24" authorId="0" shapeId="0" xr:uid="{7B548ACC-7A1B-4A57-94E2-A533AA37E9BE}">
      <text>
        <r>
          <rPr>
            <b/>
            <sz val="9"/>
            <color indexed="81"/>
            <rFont val="Tahoma"/>
            <family val="2"/>
          </rPr>
          <t>Sheena Gossett:</t>
        </r>
        <r>
          <rPr>
            <sz val="9"/>
            <color indexed="81"/>
            <rFont val="Tahoma"/>
            <family val="2"/>
          </rPr>
          <t xml:space="preserve">
Put back to FY21 budget numbers per workshop 01.21.21
900 @ $150
300 @ $200
450 @ $250
908, 238 &amp; 381 summer 2020 respectively 
</t>
        </r>
      </text>
    </comment>
    <comment ref="Y25" authorId="1" shapeId="0" xr:uid="{40B7643E-186F-494A-976E-7B13E56F3DA8}">
      <text>
        <r>
          <rPr>
            <b/>
            <sz val="9"/>
            <color indexed="81"/>
            <rFont val="Tahoma"/>
            <family val="2"/>
          </rPr>
          <t>Scott Koenig:</t>
        </r>
        <r>
          <rPr>
            <sz val="9"/>
            <color indexed="81"/>
            <rFont val="Tahoma"/>
            <family val="2"/>
          </rPr>
          <t xml:space="preserve">
Use $365,000 X 1.20 = $438,000.  $420,000 discussed at 03/07/2020 meeting.  Revise to $435K per GP email.</t>
        </r>
      </text>
    </comment>
    <comment ref="AA25" authorId="0" shapeId="0" xr:uid="{49C003B9-D042-482D-9324-6748BCFAFF9D}">
      <text>
        <r>
          <rPr>
            <b/>
            <sz val="9"/>
            <color indexed="81"/>
            <rFont val="Tahoma"/>
            <family val="2"/>
          </rPr>
          <t>Sheena Gossett:</t>
        </r>
        <r>
          <rPr>
            <sz val="9"/>
            <color indexed="81"/>
            <rFont val="Tahoma"/>
            <family val="2"/>
          </rPr>
          <t xml:space="preserve">
Put back to FY21 budget numbers per workshop 01.21.21
Went with FY2020 actual amount as higher than averages but without enforcement, could stay down</t>
        </r>
      </text>
    </comment>
    <comment ref="Y26" authorId="1" shapeId="0" xr:uid="{148C6D30-ED98-420C-88E6-3A21F49AED8C}">
      <text>
        <r>
          <rPr>
            <b/>
            <sz val="9"/>
            <color indexed="81"/>
            <rFont val="Tahoma"/>
            <family val="2"/>
          </rPr>
          <t>Scott Koenig:</t>
        </r>
        <r>
          <rPr>
            <sz val="9"/>
            <color indexed="81"/>
            <rFont val="Tahoma"/>
            <family val="2"/>
          </rPr>
          <t xml:space="preserve">
Use $345,000 X 1.25 = $431,250; therefore, use $435,000 plus $27,000 extra for variable pricing estimate for weekends.  Use $462K.  $440,000 disccused at 03/07/2020 meeting.
</t>
        </r>
      </text>
    </comment>
    <comment ref="AA26" authorId="0" shapeId="0" xr:uid="{854769F7-A6CB-4C5E-8F0C-40E2BE544E6F}">
      <text>
        <r>
          <rPr>
            <b/>
            <sz val="9"/>
            <color indexed="81"/>
            <rFont val="Tahoma"/>
            <family val="2"/>
          </rPr>
          <t>Sheena Gossett:</t>
        </r>
        <r>
          <rPr>
            <sz val="9"/>
            <color indexed="81"/>
            <rFont val="Tahoma"/>
            <family val="2"/>
          </rPr>
          <t xml:space="preserve">
Put back to FY21 budget numbers per workshop 01.21.21
Went with FY2020 actual amount as higher than averages but without enforcement, could stay down</t>
        </r>
      </text>
    </comment>
    <comment ref="AA29" authorId="0" shapeId="0" xr:uid="{5B5053B7-45CC-41BB-BEDF-7DAA8793238D}">
      <text>
        <r>
          <rPr>
            <b/>
            <sz val="9"/>
            <color indexed="81"/>
            <rFont val="Tahoma"/>
            <family val="2"/>
          </rPr>
          <t>Sheena Gossett:</t>
        </r>
        <r>
          <rPr>
            <sz val="9"/>
            <color indexed="81"/>
            <rFont val="Tahoma"/>
            <family val="2"/>
          </rPr>
          <t xml:space="preserve">
10% increase over historic low as even though properties are transferring, building revenue will depend on interest rates brought about by new administration</t>
        </r>
      </text>
    </comment>
    <comment ref="Y31" authorId="1" shapeId="0" xr:uid="{CD88F26C-0C56-45FA-BB84-927C49023F22}">
      <text>
        <r>
          <rPr>
            <b/>
            <sz val="9"/>
            <color indexed="81"/>
            <rFont val="Tahoma"/>
            <family val="2"/>
          </rPr>
          <t>Scott Koenig:</t>
        </r>
        <r>
          <rPr>
            <sz val="9"/>
            <color indexed="81"/>
            <rFont val="Tahoma"/>
            <family val="2"/>
          </rPr>
          <t xml:space="preserve">
Increased to $26K related to DM comments.  Reduce to $20K per GP email.</t>
        </r>
      </text>
    </comment>
    <comment ref="AA31" authorId="0" shapeId="0" xr:uid="{3C5B281A-5E50-4292-BA3F-8645C3BF1A95}">
      <text>
        <r>
          <rPr>
            <b/>
            <sz val="9"/>
            <color indexed="81"/>
            <rFont val="Tahoma"/>
            <family val="2"/>
          </rPr>
          <t>Sheena Gossett:</t>
        </r>
        <r>
          <rPr>
            <sz val="9"/>
            <color indexed="81"/>
            <rFont val="Tahoma"/>
            <family val="2"/>
          </rPr>
          <t xml:space="preserve">
Kept same due to ee's able to upsell many to lifetime license, thus limiting short term needs.  Online access to short term licenses may help but not substantial as transfering from in person to online</t>
        </r>
      </text>
    </comment>
    <comment ref="AA36" authorId="0" shapeId="0" xr:uid="{ADE7AFEB-5F53-4F39-98B7-A24671AAA02B}">
      <text>
        <r>
          <rPr>
            <b/>
            <sz val="9"/>
            <color indexed="81"/>
            <rFont val="Tahoma"/>
            <family val="2"/>
          </rPr>
          <t>Sheena Gossett:</t>
        </r>
        <r>
          <rPr>
            <sz val="9"/>
            <color indexed="81"/>
            <rFont val="Tahoma"/>
            <family val="2"/>
          </rPr>
          <t xml:space="preserve">
put to 21 budget at workshop
added 6k for delinquent since not using delinquent anymore</t>
        </r>
      </text>
    </comment>
    <comment ref="S37" authorId="0" shapeId="0" xr:uid="{74AB8308-6F84-43C5-B368-F9426543E5EF}">
      <text>
        <r>
          <rPr>
            <b/>
            <sz val="9"/>
            <color indexed="81"/>
            <rFont val="Tahoma"/>
            <family val="2"/>
          </rPr>
          <t>Sheena Gossett:</t>
        </r>
        <r>
          <rPr>
            <sz val="9"/>
            <color indexed="81"/>
            <rFont val="Tahoma"/>
            <family val="2"/>
          </rPr>
          <t xml:space="preserve">
This is only collections from First Collect.  Any in-house collections of delinquent tickets are not stated as such.</t>
        </r>
      </text>
    </comment>
    <comment ref="W37" authorId="0" shapeId="0" xr:uid="{E36938C4-6B94-4318-8F64-CF2288E294B8}">
      <text>
        <r>
          <rPr>
            <b/>
            <sz val="9"/>
            <color indexed="81"/>
            <rFont val="Tahoma"/>
            <family val="2"/>
          </rPr>
          <t>Sheena Gossett:</t>
        </r>
        <r>
          <rPr>
            <sz val="9"/>
            <color indexed="81"/>
            <rFont val="Tahoma"/>
            <family val="2"/>
          </rPr>
          <t xml:space="preserve">
This is only collections from First Collect.  Any in-house collections of delinquent tickets are not stated as such.</t>
        </r>
      </text>
    </comment>
    <comment ref="AA37" authorId="0" shapeId="0" xr:uid="{2F7E0F80-6842-4703-9836-16E5B9E1BAE3}">
      <text>
        <r>
          <rPr>
            <b/>
            <sz val="9"/>
            <color indexed="81"/>
            <rFont val="Tahoma"/>
            <family val="2"/>
          </rPr>
          <t>Sheena Gossett:</t>
        </r>
        <r>
          <rPr>
            <sz val="9"/>
            <color indexed="81"/>
            <rFont val="Tahoma"/>
            <family val="2"/>
          </rPr>
          <t xml:space="preserve">
this was for First Collect but have not been using them - collecting in house and all goes to parking tickets.</t>
        </r>
      </text>
    </comment>
    <comment ref="AA41" authorId="0" shapeId="0" xr:uid="{A016ED15-F1FB-4E0D-BF4D-497C829AE5AF}">
      <text>
        <r>
          <rPr>
            <b/>
            <sz val="9"/>
            <color indexed="81"/>
            <rFont val="Tahoma"/>
            <family val="2"/>
          </rPr>
          <t>Sheena Gossett:</t>
        </r>
        <r>
          <rPr>
            <sz val="9"/>
            <color indexed="81"/>
            <rFont val="Tahoma"/>
            <family val="2"/>
          </rPr>
          <t xml:space="preserve">
upped to $40k per JD from $35k</t>
        </r>
      </text>
    </comment>
    <comment ref="AA42" authorId="0" shapeId="0" xr:uid="{095EB2FC-22FD-418C-9143-F5A5D63C4C63}">
      <text>
        <r>
          <rPr>
            <b/>
            <sz val="9"/>
            <color indexed="81"/>
            <rFont val="Tahoma"/>
            <family val="2"/>
          </rPr>
          <t>Sheena Gossett:</t>
        </r>
        <r>
          <rPr>
            <sz val="9"/>
            <color indexed="81"/>
            <rFont val="Tahoma"/>
            <family val="2"/>
          </rPr>
          <t xml:space="preserve">
upped to 9k per JD from 7.5k</t>
        </r>
      </text>
    </comment>
    <comment ref="S44" authorId="0" shapeId="0" xr:uid="{21405999-4F54-441D-82FC-C06834E21FDB}">
      <text>
        <r>
          <rPr>
            <b/>
            <sz val="9"/>
            <color indexed="81"/>
            <rFont val="Tahoma"/>
            <family val="2"/>
          </rPr>
          <t>Sheena Gossett:</t>
        </r>
        <r>
          <rPr>
            <sz val="9"/>
            <color indexed="81"/>
            <rFont val="Tahoma"/>
            <family val="2"/>
          </rPr>
          <t xml:space="preserve">
This is for issues prior to 2018.  First Collect is not being used for anything since 2018</t>
        </r>
      </text>
    </comment>
    <comment ref="Y45" authorId="1" shapeId="0" xr:uid="{D3DEF006-C7A3-4090-A7F3-41BE8F555DE2}">
      <text>
        <r>
          <rPr>
            <b/>
            <sz val="9"/>
            <color indexed="81"/>
            <rFont val="Tahoma"/>
            <family val="2"/>
          </rPr>
          <t>Scott Koenig:</t>
        </r>
        <r>
          <rPr>
            <sz val="9"/>
            <color indexed="81"/>
            <rFont val="Tahoma"/>
            <family val="2"/>
          </rPr>
          <t xml:space="preserve">
Est. = $100 per month.</t>
        </r>
      </text>
    </comment>
    <comment ref="AA45" authorId="0" shapeId="0" xr:uid="{906C865B-C19F-415C-A82A-C63BAD72F20F}">
      <text>
        <r>
          <rPr>
            <b/>
            <sz val="9"/>
            <color indexed="81"/>
            <rFont val="Tahoma"/>
            <family val="2"/>
          </rPr>
          <t>Sheena Gossett:</t>
        </r>
        <r>
          <rPr>
            <sz val="9"/>
            <color indexed="81"/>
            <rFont val="Tahoma"/>
            <family val="2"/>
          </rPr>
          <t xml:space="preserve">
grouping all "other court" fines as one since doesn't matter what court, just that we get monies
</t>
        </r>
      </text>
    </comment>
    <comment ref="AA50" authorId="0" shapeId="0" xr:uid="{927FE232-C4BF-407D-8D27-CF74AAA7CC26}">
      <text>
        <r>
          <rPr>
            <b/>
            <sz val="9"/>
            <color indexed="81"/>
            <rFont val="Tahoma"/>
            <family val="2"/>
          </rPr>
          <t>Sheena Gossett:</t>
        </r>
        <r>
          <rPr>
            <sz val="9"/>
            <color indexed="81"/>
            <rFont val="Tahoma"/>
            <family val="2"/>
          </rPr>
          <t xml:space="preserve">
Per JD</t>
        </r>
      </text>
    </comment>
    <comment ref="Y51" authorId="1" shapeId="0" xr:uid="{F0D0C8EC-1F29-41D2-BA32-D305E286FF75}">
      <text>
        <r>
          <rPr>
            <b/>
            <sz val="9"/>
            <color indexed="81"/>
            <rFont val="Tahoma"/>
            <family val="2"/>
          </rPr>
          <t>Scott Koenig:</t>
        </r>
        <r>
          <rPr>
            <sz val="9"/>
            <color indexed="81"/>
            <rFont val="Tahoma"/>
            <family val="2"/>
          </rPr>
          <t xml:space="preserve">
Increased from $15,000 to $20,000 on 02/24/2020. $15,000 on 03/04/2020.  Use $18.5K as of 03/16/20 - SDK</t>
        </r>
      </text>
    </comment>
    <comment ref="Y52" authorId="1" shapeId="0" xr:uid="{540E999B-87B0-40A0-9416-175AA2A661CE}">
      <text>
        <r>
          <rPr>
            <b/>
            <sz val="9"/>
            <color indexed="81"/>
            <rFont val="Tahoma"/>
            <family val="2"/>
          </rPr>
          <t>Scott Koenig:</t>
        </r>
        <r>
          <rPr>
            <sz val="9"/>
            <color indexed="81"/>
            <rFont val="Tahoma"/>
            <family val="2"/>
          </rPr>
          <t xml:space="preserve">
Concerns at 03/07/2020 meeting: $25,000.  Reduced to $10K per email from GP.</t>
        </r>
      </text>
    </comment>
    <comment ref="AA52" authorId="0" shapeId="0" xr:uid="{5E9B9697-3A18-49DC-B13E-A397F17A2DA5}">
      <text>
        <r>
          <rPr>
            <b/>
            <sz val="9"/>
            <color indexed="81"/>
            <rFont val="Tahoma"/>
            <family val="2"/>
          </rPr>
          <t>Sheena Gossett:</t>
        </r>
        <r>
          <rPr>
            <sz val="9"/>
            <color indexed="81"/>
            <rFont val="Tahoma"/>
            <family val="2"/>
          </rPr>
          <t xml:space="preserve">
Based on FY2020 actual</t>
        </r>
      </text>
    </comment>
    <comment ref="AA54" authorId="0" shapeId="0" xr:uid="{6C1F9E2A-5FB7-49A0-AD00-B71701B30B1E}">
      <text>
        <r>
          <rPr>
            <b/>
            <sz val="9"/>
            <color indexed="81"/>
            <rFont val="Tahoma"/>
            <family val="2"/>
          </rPr>
          <t>Sheena Gossett:</t>
        </r>
        <r>
          <rPr>
            <sz val="9"/>
            <color indexed="81"/>
            <rFont val="Tahoma"/>
            <family val="2"/>
          </rPr>
          <t xml:space="preserve">
Taken to 25k per workshop 01.21.21</t>
        </r>
      </text>
    </comment>
    <comment ref="Y58" authorId="1" shapeId="0" xr:uid="{86641CE2-CC87-49B0-87E7-0A28E61DAB45}">
      <text>
        <r>
          <rPr>
            <b/>
            <sz val="9"/>
            <color indexed="81"/>
            <rFont val="Tahoma"/>
            <family val="2"/>
          </rPr>
          <t>Scott Koenig:</t>
        </r>
        <r>
          <rPr>
            <sz val="9"/>
            <color indexed="81"/>
            <rFont val="Tahoma"/>
            <family val="2"/>
          </rPr>
          <t xml:space="preserve">
Last 3 years average: $39,990.  Last 2 years average:  $41,379.  Use $40,000.</t>
        </r>
      </text>
    </comment>
    <comment ref="S59" authorId="0" shapeId="0" xr:uid="{E4AE2546-2C8E-44E7-A4D2-CE131297DC03}">
      <text>
        <r>
          <rPr>
            <b/>
            <sz val="9"/>
            <color indexed="81"/>
            <rFont val="Tahoma"/>
            <family val="2"/>
          </rPr>
          <t>Sheena Gossett:</t>
        </r>
        <r>
          <rPr>
            <sz val="9"/>
            <color indexed="81"/>
            <rFont val="Tahoma"/>
            <family val="2"/>
          </rPr>
          <t xml:space="preserve">
This includes SCAT Meeting payments</t>
        </r>
      </text>
    </comment>
    <comment ref="Y61" authorId="1" shapeId="0" xr:uid="{2C9BB225-BC8D-4278-811B-4B1E3D40CD37}">
      <text>
        <r>
          <rPr>
            <b/>
            <sz val="9"/>
            <color indexed="81"/>
            <rFont val="Tahoma"/>
            <family val="2"/>
          </rPr>
          <t>Scott Koenig:</t>
        </r>
        <r>
          <rPr>
            <sz val="9"/>
            <color indexed="81"/>
            <rFont val="Tahoma"/>
            <family val="2"/>
          </rPr>
          <t xml:space="preserve">
Verizon COW - Summer Lease Payment:  $13,000 (est.) - as of 2/18/2020 Verizon has indicated they will not be using the COW.  Reimbursement of Admin. Salary related to Beach Tax Administration:  $5,000.  Removed on 03/04/2020.
</t>
        </r>
      </text>
    </comment>
    <comment ref="AA81" authorId="0" shapeId="0" xr:uid="{060B0195-5C8D-4994-87F5-9793E9640582}">
      <text>
        <r>
          <rPr>
            <b/>
            <sz val="9"/>
            <color indexed="81"/>
            <rFont val="Tahoma"/>
            <family val="2"/>
          </rPr>
          <t>Sheena Gossett:</t>
        </r>
        <r>
          <rPr>
            <sz val="9"/>
            <color indexed="81"/>
            <rFont val="Tahoma"/>
            <family val="2"/>
          </rPr>
          <t xml:space="preserve">
This is now put directly to balance sheet decreasing receivable.  No longer recorded as revenue</t>
        </r>
      </text>
    </comment>
    <comment ref="Y92" authorId="1" shapeId="0" xr:uid="{07269B9C-EB46-4DD1-845C-3B581476DB07}">
      <text>
        <r>
          <rPr>
            <b/>
            <sz val="9"/>
            <color indexed="81"/>
            <rFont val="Tahoma"/>
            <family val="2"/>
          </rPr>
          <t>Scott Koenig:</t>
        </r>
        <r>
          <rPr>
            <sz val="9"/>
            <color indexed="81"/>
            <rFont val="Tahoma"/>
            <family val="2"/>
          </rPr>
          <t xml:space="preserve">
FY20 - $27,500 as of 12/31/2019.</t>
        </r>
      </text>
    </comment>
    <comment ref="AA92" authorId="0" shapeId="0" xr:uid="{0246AB3F-755D-466C-9155-14D8C79E652E}">
      <text>
        <r>
          <rPr>
            <b/>
            <sz val="9"/>
            <color indexed="81"/>
            <rFont val="Tahoma"/>
            <family val="2"/>
          </rPr>
          <t>Sheena Gossett:</t>
        </r>
        <r>
          <rPr>
            <sz val="9"/>
            <color indexed="81"/>
            <rFont val="Tahoma"/>
            <family val="2"/>
          </rPr>
          <t xml:space="preserve">
FY2020 was down due to fewer people being in town, however if visitor levels go back up, credit card use fees will rise</t>
        </r>
      </text>
    </comment>
    <comment ref="AA93" authorId="0" shapeId="0" xr:uid="{E1BB76C6-7C7C-4A1F-B541-3E61BEA53C57}">
      <text>
        <r>
          <rPr>
            <b/>
            <sz val="9"/>
            <color indexed="81"/>
            <rFont val="Tahoma"/>
            <family val="2"/>
          </rPr>
          <t>Sheena Gossett:</t>
        </r>
        <r>
          <rPr>
            <sz val="9"/>
            <color indexed="81"/>
            <rFont val="Tahoma"/>
            <family val="2"/>
          </rPr>
          <t xml:space="preserve">
if increase in transfer tax continues, fees will go up.</t>
        </r>
      </text>
    </comment>
    <comment ref="AA94" authorId="0" shapeId="0" xr:uid="{D2E9E5A9-35A9-402E-8D2E-2A2C948856D4}">
      <text>
        <r>
          <rPr>
            <b/>
            <sz val="9"/>
            <color indexed="81"/>
            <rFont val="Tahoma"/>
            <family val="2"/>
          </rPr>
          <t>Sheena Gossett:</t>
        </r>
        <r>
          <rPr>
            <sz val="9"/>
            <color indexed="81"/>
            <rFont val="Tahoma"/>
            <family val="2"/>
          </rPr>
          <t xml:space="preserve">
35% of delinqent civil and parking tickets however agency not being used anymore
</t>
        </r>
      </text>
    </comment>
    <comment ref="S95" authorId="0" shapeId="0" xr:uid="{5131AA83-A766-4620-B06B-1D0B706627FB}">
      <text>
        <r>
          <rPr>
            <b/>
            <sz val="9"/>
            <color indexed="81"/>
            <rFont val="Tahoma"/>
            <family val="2"/>
          </rPr>
          <t>Sheena Gossett:</t>
        </r>
        <r>
          <rPr>
            <sz val="9"/>
            <color indexed="81"/>
            <rFont val="Tahoma"/>
            <family val="2"/>
          </rPr>
          <t xml:space="preserve">
Prior years listed as negative revenue.  Switched to expense per Luff in January 2020</t>
        </r>
      </text>
    </comment>
    <comment ref="W95" authorId="0" shapeId="0" xr:uid="{B38C450A-9DF5-4BE4-BB57-EDE357BEF47E}">
      <text>
        <r>
          <rPr>
            <b/>
            <sz val="9"/>
            <color indexed="81"/>
            <rFont val="Tahoma"/>
            <family val="2"/>
          </rPr>
          <t>Sheena Gossett:</t>
        </r>
        <r>
          <rPr>
            <sz val="9"/>
            <color indexed="81"/>
            <rFont val="Tahoma"/>
            <family val="2"/>
          </rPr>
          <t xml:space="preserve">
Prior years listed as negative revenue.  Switched to expense per Luff in January 2020</t>
        </r>
      </text>
    </comment>
    <comment ref="S96" authorId="0" shapeId="0" xr:uid="{CDB89CAE-0F14-4A00-B6D0-49CC89F21DE8}">
      <text>
        <r>
          <rPr>
            <b/>
            <sz val="9"/>
            <color indexed="81"/>
            <rFont val="Tahoma"/>
            <family val="2"/>
          </rPr>
          <t>Sheena Gossett:</t>
        </r>
        <r>
          <rPr>
            <sz val="9"/>
            <color indexed="81"/>
            <rFont val="Tahoma"/>
            <family val="2"/>
          </rPr>
          <t xml:space="preserve">
SCAT Meeting expenses in here.</t>
        </r>
      </text>
    </comment>
    <comment ref="W96" authorId="0" shapeId="0" xr:uid="{24B51FC6-1921-458A-B6F9-3432FDCD0AF7}">
      <text>
        <r>
          <rPr>
            <b/>
            <sz val="9"/>
            <color indexed="81"/>
            <rFont val="Tahoma"/>
            <family val="2"/>
          </rPr>
          <t>Sheena Gossett:</t>
        </r>
        <r>
          <rPr>
            <sz val="9"/>
            <color indexed="81"/>
            <rFont val="Tahoma"/>
            <family val="2"/>
          </rPr>
          <t xml:space="preserve">
SCAT Meeting expenses in here.</t>
        </r>
      </text>
    </comment>
    <comment ref="AA96" authorId="0" shapeId="0" xr:uid="{E955C72D-4772-476A-89E0-77213D6651CC}">
      <text>
        <r>
          <rPr>
            <b/>
            <sz val="9"/>
            <color indexed="81"/>
            <rFont val="Tahoma"/>
            <family val="2"/>
          </rPr>
          <t>Sheena Gossett:</t>
        </r>
        <r>
          <rPr>
            <sz val="9"/>
            <color indexed="81"/>
            <rFont val="Tahoma"/>
            <family val="2"/>
          </rPr>
          <t xml:space="preserve">
per JD</t>
        </r>
      </text>
    </comment>
    <comment ref="S97" authorId="0" shapeId="0" xr:uid="{29606CCC-3E53-4F05-90AD-6AA42F55ABCB}">
      <text>
        <r>
          <rPr>
            <b/>
            <sz val="9"/>
            <color indexed="81"/>
            <rFont val="Tahoma"/>
            <family val="2"/>
          </rPr>
          <t>Sheena Gossett:</t>
        </r>
        <r>
          <rPr>
            <sz val="9"/>
            <color indexed="81"/>
            <rFont val="Tahoma"/>
            <family val="2"/>
          </rPr>
          <t xml:space="preserve">
SCAT Meeting expenses in here.</t>
        </r>
      </text>
    </comment>
    <comment ref="AA97" authorId="0" shapeId="0" xr:uid="{8B3D4C2D-7CE7-4450-878A-715B182537D7}">
      <text>
        <r>
          <rPr>
            <b/>
            <sz val="9"/>
            <color indexed="81"/>
            <rFont val="Tahoma"/>
            <family val="2"/>
          </rPr>
          <t>Sheena Gossett:</t>
        </r>
        <r>
          <rPr>
            <sz val="9"/>
            <color indexed="81"/>
            <rFont val="Tahoma"/>
            <family val="2"/>
          </rPr>
          <t xml:space="preserve">
raised to 5k per commissioner request
</t>
        </r>
      </text>
    </comment>
    <comment ref="W98" authorId="0" shapeId="0" xr:uid="{2F49A2F8-A535-44FD-9DDA-64B4E56B9455}">
      <text>
        <r>
          <rPr>
            <b/>
            <sz val="9"/>
            <color indexed="81"/>
            <rFont val="Tahoma"/>
            <family val="2"/>
          </rPr>
          <t>Sheena Gossett:</t>
        </r>
        <r>
          <rPr>
            <sz val="9"/>
            <color indexed="81"/>
            <rFont val="Tahoma"/>
            <family val="2"/>
          </rPr>
          <t xml:space="preserve">
Town Hall donated more for the Christmas family adoptions than in past years</t>
        </r>
      </text>
    </comment>
    <comment ref="Y98" authorId="1" shapeId="0" xr:uid="{5C4E9516-A6D8-4501-9572-F1CCD468A146}">
      <text>
        <r>
          <rPr>
            <b/>
            <sz val="9"/>
            <color indexed="81"/>
            <rFont val="Tahoma"/>
            <family val="2"/>
          </rPr>
          <t>Scott Koenig:</t>
        </r>
        <r>
          <rPr>
            <sz val="9"/>
            <color indexed="81"/>
            <rFont val="Tahoma"/>
            <family val="2"/>
          </rPr>
          <t xml:space="preserve">
$5,000 Rehoboth Fire Company, $1,500 Center for Inland Bays Annual Dinner; $1,000 for Sponsorship of the Santa 5K</t>
        </r>
      </text>
    </comment>
    <comment ref="S99" authorId="0" shapeId="0" xr:uid="{A4A61475-C924-4EC2-AAE9-9AE9B4BCA0A9}">
      <text>
        <r>
          <rPr>
            <b/>
            <sz val="9"/>
            <color indexed="81"/>
            <rFont val="Tahoma"/>
            <family val="2"/>
          </rPr>
          <t>Sheena Gossett:</t>
        </r>
        <r>
          <rPr>
            <sz val="9"/>
            <color indexed="81"/>
            <rFont val="Tahoma"/>
            <family val="2"/>
          </rPr>
          <t xml:space="preserve">
Town Hall donated more for the Christmas family adoptions than in past years</t>
        </r>
      </text>
    </comment>
    <comment ref="Y100" authorId="2" shapeId="0" xr:uid="{5FF5EBA2-F5FB-4393-B2DA-C486ADBEA1BB}">
      <text>
        <r>
          <rPr>
            <b/>
            <sz val="9"/>
            <color indexed="81"/>
            <rFont val="Tahoma"/>
            <family val="2"/>
          </rPr>
          <t>skoenig:</t>
        </r>
        <r>
          <rPr>
            <sz val="9"/>
            <color indexed="81"/>
            <rFont val="Tahoma"/>
            <family val="2"/>
          </rPr>
          <t xml:space="preserve">
Target: $5,000 per month.  12/10/19 - $5,092 / month is the 21 month average.
03/07/2020 - $70K (DM); Use $5,250 per month - SDK on 03/16/2020.</t>
        </r>
      </text>
    </comment>
    <comment ref="Y101" authorId="1" shapeId="0" xr:uid="{8A2B4995-B601-497F-B554-0333203DCFA4}">
      <text>
        <r>
          <rPr>
            <b/>
            <sz val="9"/>
            <color indexed="81"/>
            <rFont val="Tahoma"/>
            <family val="2"/>
          </rPr>
          <t>Scott Koenig:</t>
        </r>
        <r>
          <rPr>
            <sz val="9"/>
            <color indexed="81"/>
            <rFont val="Tahoma"/>
            <family val="2"/>
          </rPr>
          <t xml:space="preserve">
Target expense is $3,500 per month.  03/07/2020 - $75K (DM); Revise back to $42K on 03/16/2020 per SDK.</t>
        </r>
      </text>
    </comment>
    <comment ref="Y105" authorId="1" shapeId="0" xr:uid="{97BF434A-72C9-47A1-B99A-9D78E8CBBDD0}">
      <text>
        <r>
          <rPr>
            <sz val="9"/>
            <color indexed="81"/>
            <rFont val="Tahoma"/>
            <family val="2"/>
          </rPr>
          <t xml:space="preserve">Scott Koenig:
Managed Services: $25,393; VIMEO - $2,988; Conference Line - $1,020; Stream Hoster - $1,860; T2 Systems - $13,450; EVO Studios - $1,800; PayPal Pay Flow - $500; Govolution - $100; Adobe - $360; Edmunds - Hardware - $662; Edmunds - Software Main - $6,643; Edmunds Cloud Hosting - $4,000 </t>
        </r>
      </text>
    </comment>
    <comment ref="AA105" authorId="0" shapeId="0" xr:uid="{3CFCECAC-7FD3-4B26-8009-08659748A62E}">
      <text>
        <r>
          <rPr>
            <b/>
            <sz val="9"/>
            <color indexed="81"/>
            <rFont val="Tahoma"/>
            <family val="2"/>
          </rPr>
          <t>Sheena Gossett:</t>
        </r>
        <r>
          <rPr>
            <sz val="9"/>
            <color indexed="81"/>
            <rFont val="Tahoma"/>
            <family val="2"/>
          </rPr>
          <t xml:space="preserve">
Scott Koenig:
Managed Services: $25,393; VIMEO - $2,988; Conference Line - $1,020; Stream Hoster - $1,860; T2 Systems - $13,450; EVO Studios - $1,800; PayPal Pay Flow - $500; Govolution - $100; Adobe - $360; Edmunds - Hardware - $662; Edmunds - Software Main - $6,643; Edmunds Cloud Hosting - $4,000 - New laptop ($1700) and scanner ($1100) for Building Inspector</t>
        </r>
      </text>
    </comment>
    <comment ref="S106" authorId="0" shapeId="0" xr:uid="{91F50189-2DF3-4543-A520-ED31F2B73C2D}">
      <text>
        <r>
          <rPr>
            <b/>
            <sz val="9"/>
            <color indexed="81"/>
            <rFont val="Tahoma"/>
            <family val="2"/>
          </rPr>
          <t>Sheena Gossett:</t>
        </r>
        <r>
          <rPr>
            <sz val="9"/>
            <color indexed="81"/>
            <rFont val="Tahoma"/>
            <family val="2"/>
          </rPr>
          <t xml:space="preserve">
Partially offset by Police Grant
Needs to be capitalized</t>
        </r>
      </text>
    </comment>
    <comment ref="W106" authorId="0" shapeId="0" xr:uid="{6E823457-87A9-434B-82E6-2F7312103862}">
      <text>
        <r>
          <rPr>
            <b/>
            <sz val="9"/>
            <color indexed="81"/>
            <rFont val="Tahoma"/>
            <family val="2"/>
          </rPr>
          <t>Sheena Gossett:</t>
        </r>
        <r>
          <rPr>
            <sz val="9"/>
            <color indexed="81"/>
            <rFont val="Tahoma"/>
            <family val="2"/>
          </rPr>
          <t xml:space="preserve">
Needs to be capitalized</t>
        </r>
      </text>
    </comment>
    <comment ref="S107" authorId="0" shapeId="0" xr:uid="{B8BEAFB0-79C2-4EC7-BE99-E00F8EB8658C}">
      <text>
        <r>
          <rPr>
            <b/>
            <sz val="9"/>
            <color indexed="81"/>
            <rFont val="Tahoma"/>
            <family val="2"/>
          </rPr>
          <t>Sheena Gossett:</t>
        </r>
        <r>
          <rPr>
            <sz val="9"/>
            <color indexed="81"/>
            <rFont val="Tahoma"/>
            <family val="2"/>
          </rPr>
          <t xml:space="preserve">
Have only been doing 2 of 3 listed in Resolution 190 due to 3rd bonus is supposed to be discretionary at TM will</t>
        </r>
      </text>
    </comment>
    <comment ref="W107" authorId="0" shapeId="0" xr:uid="{3DF8E328-4166-4320-AA4F-D8675211A986}">
      <text>
        <r>
          <rPr>
            <b/>
            <sz val="9"/>
            <color indexed="81"/>
            <rFont val="Tahoma"/>
            <family val="2"/>
          </rPr>
          <t>Sheena Gossett:</t>
        </r>
        <r>
          <rPr>
            <sz val="9"/>
            <color indexed="81"/>
            <rFont val="Tahoma"/>
            <family val="2"/>
          </rPr>
          <t xml:space="preserve">
Have only been doing 2 of 3 listed in Resolution 190 due to 3rd bonus is supposed to be discretionary at TM will</t>
        </r>
      </text>
    </comment>
    <comment ref="Y108" authorId="1" shapeId="0" xr:uid="{C87E5DDB-E76C-4F23-BF7B-2734F8E4C1E9}">
      <text>
        <r>
          <rPr>
            <b/>
            <sz val="9"/>
            <color indexed="81"/>
            <rFont val="Tahoma"/>
            <family val="2"/>
          </rPr>
          <t>Scott Koenig:</t>
        </r>
        <r>
          <rPr>
            <sz val="9"/>
            <color indexed="81"/>
            <rFont val="Tahoma"/>
            <family val="2"/>
          </rPr>
          <t xml:space="preserve">
DE League of Local Govts: $800.00; RBDB Chamber: $235.00; ACT: $5,000 (Est.); SCAT: $250</t>
        </r>
      </text>
    </comment>
    <comment ref="S109" authorId="0" shapeId="0" xr:uid="{8760C4FD-0EEE-4F21-B846-906839A6D617}">
      <text>
        <r>
          <rPr>
            <b/>
            <sz val="9"/>
            <color indexed="81"/>
            <rFont val="Tahoma"/>
            <family val="2"/>
          </rPr>
          <t>Sheena Gossett:</t>
        </r>
        <r>
          <rPr>
            <sz val="9"/>
            <color indexed="81"/>
            <rFont val="Tahoma"/>
            <family val="2"/>
          </rPr>
          <t xml:space="preserve">
Extra ads had to be placed due to Election issues</t>
        </r>
      </text>
    </comment>
    <comment ref="W109" authorId="0" shapeId="0" xr:uid="{65AA1769-55A9-4457-9896-678305A9643D}">
      <text>
        <r>
          <rPr>
            <b/>
            <sz val="9"/>
            <color indexed="81"/>
            <rFont val="Tahoma"/>
            <family val="2"/>
          </rPr>
          <t>Sheena Gossett:</t>
        </r>
        <r>
          <rPr>
            <sz val="9"/>
            <color indexed="81"/>
            <rFont val="Tahoma"/>
            <family val="2"/>
          </rPr>
          <t xml:space="preserve">
Extra ads had to be placed due to Election issues</t>
        </r>
      </text>
    </comment>
    <comment ref="S110" authorId="0" shapeId="0" xr:uid="{8E80D78F-B867-4FB8-90B8-1C74CD10BAAA}">
      <text>
        <r>
          <rPr>
            <b/>
            <sz val="9"/>
            <color indexed="81"/>
            <rFont val="Tahoma"/>
            <family val="2"/>
          </rPr>
          <t>Sheena Gossett:</t>
        </r>
        <r>
          <rPr>
            <sz val="9"/>
            <color indexed="81"/>
            <rFont val="Tahoma"/>
            <family val="2"/>
          </rPr>
          <t xml:space="preserve">
This is being offset directly to Receivable per Luff directions starting in January 2020</t>
        </r>
      </text>
    </comment>
    <comment ref="W110" authorId="0" shapeId="0" xr:uid="{1EDDE7D5-8FD6-407F-8194-63DCD51E40D1}">
      <text>
        <r>
          <rPr>
            <b/>
            <sz val="9"/>
            <color indexed="81"/>
            <rFont val="Tahoma"/>
            <family val="2"/>
          </rPr>
          <t>Sheena Gossett:</t>
        </r>
        <r>
          <rPr>
            <sz val="9"/>
            <color indexed="81"/>
            <rFont val="Tahoma"/>
            <family val="2"/>
          </rPr>
          <t xml:space="preserve">
This is being offset directly to Receivable per Luff directions starting in January 2020</t>
        </r>
      </text>
    </comment>
    <comment ref="S111" authorId="0" shapeId="0" xr:uid="{444B6C2C-1C2D-4030-AB25-BF9E031B96DB}">
      <text>
        <r>
          <rPr>
            <b/>
            <sz val="9"/>
            <color indexed="81"/>
            <rFont val="Tahoma"/>
            <family val="2"/>
          </rPr>
          <t>Sheena Gossett:</t>
        </r>
        <r>
          <rPr>
            <sz val="9"/>
            <color indexed="81"/>
            <rFont val="Tahoma"/>
            <family val="2"/>
          </rPr>
          <t xml:space="preserve">
entries made first week of following month.  Current through end of year with this balance</t>
        </r>
      </text>
    </comment>
    <comment ref="W111" authorId="0" shapeId="0" xr:uid="{3F983A28-4241-4749-A895-9C8D5D78B656}">
      <text>
        <r>
          <rPr>
            <b/>
            <sz val="9"/>
            <color indexed="81"/>
            <rFont val="Tahoma"/>
            <family val="2"/>
          </rPr>
          <t>Sheena Gossett:</t>
        </r>
        <r>
          <rPr>
            <sz val="9"/>
            <color indexed="81"/>
            <rFont val="Tahoma"/>
            <family val="2"/>
          </rPr>
          <t xml:space="preserve">
entries made first week of following month.  Current through end of year with this balance</t>
        </r>
      </text>
    </comment>
    <comment ref="AA111" authorId="0" shapeId="0" xr:uid="{C14625E2-C09E-47C8-BC03-5FC4E27BD1AE}">
      <text>
        <r>
          <rPr>
            <b/>
            <sz val="9"/>
            <color indexed="81"/>
            <rFont val="Tahoma"/>
            <family val="2"/>
          </rPr>
          <t>Sheena Gossett:</t>
        </r>
        <r>
          <rPr>
            <sz val="9"/>
            <color indexed="81"/>
            <rFont val="Tahoma"/>
            <family val="2"/>
          </rPr>
          <t xml:space="preserve">
Set aside amounts based on revenue amounts</t>
        </r>
      </text>
    </comment>
    <comment ref="S112" authorId="0" shapeId="0" xr:uid="{A4003391-D682-4D8A-B3A7-3F78FB3A2384}">
      <text>
        <r>
          <rPr>
            <b/>
            <sz val="9"/>
            <color indexed="81"/>
            <rFont val="Tahoma"/>
            <family val="2"/>
          </rPr>
          <t>Sheena Gossett:</t>
        </r>
        <r>
          <rPr>
            <sz val="9"/>
            <color indexed="81"/>
            <rFont val="Tahoma"/>
            <family val="2"/>
          </rPr>
          <t xml:space="preserve">
entries made first week of following month.  Current through end of year with this balance</t>
        </r>
      </text>
    </comment>
    <comment ref="W112" authorId="0" shapeId="0" xr:uid="{9831095A-1CFF-4983-B1DB-2E4C42BA94C8}">
      <text>
        <r>
          <rPr>
            <b/>
            <sz val="9"/>
            <color indexed="81"/>
            <rFont val="Tahoma"/>
            <family val="2"/>
          </rPr>
          <t>Sheena Gossett:</t>
        </r>
        <r>
          <rPr>
            <sz val="9"/>
            <color indexed="81"/>
            <rFont val="Tahoma"/>
            <family val="2"/>
          </rPr>
          <t xml:space="preserve">
entries made first week of following month.  Current through end of year with this balance</t>
        </r>
      </text>
    </comment>
    <comment ref="S113" authorId="0" shapeId="0" xr:uid="{609252AE-42B0-4D1A-BD10-6653C8049543}">
      <text>
        <r>
          <rPr>
            <b/>
            <sz val="9"/>
            <color indexed="81"/>
            <rFont val="Tahoma"/>
            <family val="2"/>
          </rPr>
          <t>Sheena Gossett:</t>
        </r>
        <r>
          <rPr>
            <sz val="9"/>
            <color indexed="81"/>
            <rFont val="Tahoma"/>
            <family val="2"/>
          </rPr>
          <t xml:space="preserve">
entries made first week of following month.  Current through end of year with this balance</t>
        </r>
      </text>
    </comment>
    <comment ref="W113" authorId="0" shapeId="0" xr:uid="{6FB6F5CA-360D-4361-B5AB-C880782B011E}">
      <text>
        <r>
          <rPr>
            <b/>
            <sz val="9"/>
            <color indexed="81"/>
            <rFont val="Tahoma"/>
            <family val="2"/>
          </rPr>
          <t>Sheena Gossett:</t>
        </r>
        <r>
          <rPr>
            <sz val="9"/>
            <color indexed="81"/>
            <rFont val="Tahoma"/>
            <family val="2"/>
          </rPr>
          <t xml:space="preserve">
entries made first week of following month.  Current through end of year with this balance</t>
        </r>
      </text>
    </comment>
    <comment ref="S114" authorId="0" shapeId="0" xr:uid="{F5E61DC1-5E5A-42C2-B2DC-22F068D70F8C}">
      <text>
        <r>
          <rPr>
            <b/>
            <sz val="9"/>
            <color indexed="81"/>
            <rFont val="Tahoma"/>
            <family val="2"/>
          </rPr>
          <t>Sheena Gossett:</t>
        </r>
        <r>
          <rPr>
            <sz val="9"/>
            <color indexed="81"/>
            <rFont val="Tahoma"/>
            <family val="2"/>
          </rPr>
          <t xml:space="preserve">
entries made first week of following month.  Current through end of year with this balance</t>
        </r>
      </text>
    </comment>
    <comment ref="W114" authorId="0" shapeId="0" xr:uid="{19DA9385-8A58-4621-896C-FECF22F77A80}">
      <text>
        <r>
          <rPr>
            <b/>
            <sz val="9"/>
            <color indexed="81"/>
            <rFont val="Tahoma"/>
            <family val="2"/>
          </rPr>
          <t>Sheena Gossett:</t>
        </r>
        <r>
          <rPr>
            <sz val="9"/>
            <color indexed="81"/>
            <rFont val="Tahoma"/>
            <family val="2"/>
          </rPr>
          <t xml:space="preserve">
entries made first week of following month.  Current through end of year with this balance</t>
        </r>
      </text>
    </comment>
    <comment ref="W119" authorId="0" shapeId="0" xr:uid="{FDD153EF-A460-4B9C-A1F5-0208A07FFB24}">
      <text>
        <r>
          <rPr>
            <b/>
            <sz val="9"/>
            <color indexed="81"/>
            <rFont val="Tahoma"/>
            <family val="2"/>
          </rPr>
          <t>Sheena Gossett:</t>
        </r>
        <r>
          <rPr>
            <sz val="9"/>
            <color indexed="81"/>
            <rFont val="Tahoma"/>
            <family val="2"/>
          </rPr>
          <t xml:space="preserve">
2nd payment coming due in February</t>
        </r>
      </text>
    </comment>
    <comment ref="Y119" authorId="2" shapeId="0" xr:uid="{81AAE379-CF2A-4C0C-A362-B5EE4A9B7E0F}">
      <text>
        <r>
          <rPr>
            <b/>
            <sz val="9"/>
            <color indexed="81"/>
            <rFont val="Tahoma"/>
            <family val="2"/>
          </rPr>
          <t>skoenig:</t>
        </r>
        <r>
          <rPr>
            <sz val="9"/>
            <color indexed="81"/>
            <rFont val="Tahoma"/>
            <family val="2"/>
          </rPr>
          <t xml:space="preserve">
Historically paid from the Street &amp; Infrastructure Account.</t>
        </r>
      </text>
    </comment>
    <comment ref="S120" authorId="0" shapeId="0" xr:uid="{F7717E51-772C-4A63-9830-CA5B229DAC90}">
      <text>
        <r>
          <rPr>
            <b/>
            <sz val="9"/>
            <color indexed="81"/>
            <rFont val="Tahoma"/>
            <family val="2"/>
          </rPr>
          <t>Sheena Gossett:</t>
        </r>
        <r>
          <rPr>
            <sz val="9"/>
            <color indexed="81"/>
            <rFont val="Tahoma"/>
            <family val="2"/>
          </rPr>
          <t xml:space="preserve">
This was not separated out until this year
</t>
        </r>
      </text>
    </comment>
    <comment ref="S121" authorId="0" shapeId="0" xr:uid="{5516F71D-91F2-44B4-A233-EB6825E2C4AD}">
      <text>
        <r>
          <rPr>
            <b/>
            <sz val="9"/>
            <color indexed="81"/>
            <rFont val="Tahoma"/>
            <family val="2"/>
          </rPr>
          <t>Sheena Gossett:</t>
        </r>
        <r>
          <rPr>
            <sz val="9"/>
            <color indexed="81"/>
            <rFont val="Tahoma"/>
            <family val="2"/>
          </rPr>
          <t xml:space="preserve">
Christmas decorations around town put to this account</t>
        </r>
      </text>
    </comment>
    <comment ref="W121" authorId="0" shapeId="0" xr:uid="{28D82595-0D15-45E9-B7C9-DAAEC7CFFA7F}">
      <text>
        <r>
          <rPr>
            <b/>
            <sz val="9"/>
            <color indexed="81"/>
            <rFont val="Tahoma"/>
            <family val="2"/>
          </rPr>
          <t>Sheena Gossett:</t>
        </r>
        <r>
          <rPr>
            <sz val="9"/>
            <color indexed="81"/>
            <rFont val="Tahoma"/>
            <family val="2"/>
          </rPr>
          <t xml:space="preserve">
Christmas decorations around town put to this account</t>
        </r>
      </text>
    </comment>
    <comment ref="Y121" authorId="1" shapeId="0" xr:uid="{8BE374AB-7617-49ED-B89A-6C82F939A6EE}">
      <text>
        <r>
          <rPr>
            <b/>
            <sz val="9"/>
            <color indexed="81"/>
            <rFont val="Tahoma"/>
            <family val="2"/>
          </rPr>
          <t>Scott Koenig:</t>
        </r>
        <r>
          <rPr>
            <sz val="9"/>
            <color indexed="81"/>
            <rFont val="Tahoma"/>
            <family val="2"/>
          </rPr>
          <t xml:space="preserve">
$2,441.58 x 9 months plus $2,490.41 x 3 months = $29,445.45 plus $2,555 = $32,000.</t>
        </r>
      </text>
    </comment>
    <comment ref="AA121" authorId="0" shapeId="0" xr:uid="{7C4DB8B1-A02A-4054-9C84-10B275765392}">
      <text>
        <r>
          <rPr>
            <b/>
            <sz val="9"/>
            <color indexed="81"/>
            <rFont val="Tahoma"/>
            <family val="2"/>
          </rPr>
          <t>Sheena Gossett:</t>
        </r>
        <r>
          <rPr>
            <sz val="9"/>
            <color indexed="81"/>
            <rFont val="Tahoma"/>
            <family val="2"/>
          </rPr>
          <t xml:space="preserve">
2441.88*12+2500
</t>
        </r>
      </text>
    </comment>
    <comment ref="Y123" authorId="1" shapeId="0" xr:uid="{2EC5FCC5-29A7-407F-906D-6CBD7B378BB1}">
      <text>
        <r>
          <rPr>
            <b/>
            <sz val="9"/>
            <color indexed="81"/>
            <rFont val="Tahoma"/>
            <family val="2"/>
          </rPr>
          <t>Scott Koenig:</t>
        </r>
        <r>
          <rPr>
            <sz val="9"/>
            <color indexed="81"/>
            <rFont val="Tahoma"/>
            <family val="2"/>
          </rPr>
          <t xml:space="preserve">
Waste Industries Annual Contract - $15,921.
Town Hall Roll Offs - Spring Clean Up Week - $5,079.  Iron Mountain (Shredding) - $1,000.  Dog Waste Bags - $5,000.  Misc. Tipping Fees &amp; Enclosure Repairs - $600.  Use </t>
        </r>
      </text>
    </comment>
    <comment ref="AA123" authorId="0" shapeId="0" xr:uid="{1323968A-E6A0-4047-82D5-687B79032783}">
      <text>
        <r>
          <rPr>
            <b/>
            <sz val="9"/>
            <color indexed="81"/>
            <rFont val="Tahoma"/>
            <family val="2"/>
          </rPr>
          <t>Sheena Gossett:</t>
        </r>
        <r>
          <rPr>
            <sz val="9"/>
            <color indexed="81"/>
            <rFont val="Tahoma"/>
            <family val="2"/>
          </rPr>
          <t xml:space="preserve">
Waste Industries Annual Contract - $15,921.
 Iron Mountain (Shredding) - $1,000.  Dog Waste Bags - $5,000.  Misc. Tipping Fees &amp; Enclosure Repairs - $600.  Use </t>
        </r>
      </text>
    </comment>
    <comment ref="W124" authorId="0" shapeId="0" xr:uid="{987E06A3-9A50-4BC8-BE5B-D39E93AA660F}">
      <text>
        <r>
          <rPr>
            <b/>
            <sz val="9"/>
            <color indexed="81"/>
            <rFont val="Tahoma"/>
            <family val="2"/>
          </rPr>
          <t>Sheena Gossett:</t>
        </r>
        <r>
          <rPr>
            <sz val="9"/>
            <color indexed="81"/>
            <rFont val="Tahoma"/>
            <family val="2"/>
          </rPr>
          <t xml:space="preserve">
Credit from Delmarva power for FY2019 expired this year.
Charges offset from reimbursement from MSA grant
</t>
        </r>
      </text>
    </comment>
    <comment ref="AA127" authorId="0" shapeId="0" xr:uid="{16277362-94E4-42A2-A49B-BA409A2E8965}">
      <text>
        <r>
          <rPr>
            <b/>
            <sz val="9"/>
            <color indexed="81"/>
            <rFont val="Tahoma"/>
            <family val="2"/>
          </rPr>
          <t>Sheena Gossett:</t>
        </r>
        <r>
          <rPr>
            <sz val="9"/>
            <color indexed="81"/>
            <rFont val="Tahoma"/>
            <family val="2"/>
          </rPr>
          <t xml:space="preserve">
These expenditures are accounted for in other line items (street &amp; traffic lights, signs, etc) then reimbursed out of the MSA account
</t>
        </r>
      </text>
    </comment>
    <comment ref="AA129" authorId="0" shapeId="0" xr:uid="{9288A902-1394-440F-9296-B8F64AEF54C7}">
      <text>
        <r>
          <rPr>
            <b/>
            <sz val="9"/>
            <color indexed="81"/>
            <rFont val="Tahoma"/>
            <family val="2"/>
          </rPr>
          <t>Sheena Gossett:</t>
        </r>
        <r>
          <rPr>
            <sz val="9"/>
            <color indexed="81"/>
            <rFont val="Tahoma"/>
            <family val="2"/>
          </rPr>
          <t xml:space="preserve">
not budget line item per bill s.</t>
        </r>
      </text>
    </comment>
    <comment ref="Y135" authorId="1" shapeId="0" xr:uid="{82D633E2-CF71-4788-8CCB-B7B5C9DDBA91}">
      <text>
        <r>
          <rPr>
            <b/>
            <sz val="9"/>
            <color indexed="81"/>
            <rFont val="Tahoma"/>
            <family val="2"/>
          </rPr>
          <t>Scott Koenig:</t>
        </r>
        <r>
          <rPr>
            <sz val="9"/>
            <color indexed="81"/>
            <rFont val="Tahoma"/>
            <family val="2"/>
          </rPr>
          <t xml:space="preserve">
4.47% increase due to OT &amp; hours worked for meetings.</t>
        </r>
      </text>
    </comment>
    <comment ref="Y140" authorId="1" shapeId="0" xr:uid="{BE7BBEAB-3515-42DE-8941-8D0FFF7EBA34}">
      <text>
        <r>
          <rPr>
            <b/>
            <sz val="9"/>
            <color indexed="81"/>
            <rFont val="Tahoma"/>
            <family val="2"/>
          </rPr>
          <t>Scott Koenig:</t>
        </r>
        <r>
          <rPr>
            <sz val="9"/>
            <color indexed="81"/>
            <rFont val="Tahoma"/>
            <family val="2"/>
          </rPr>
          <t xml:space="preserve">
0.89% change:  includes raises and change to employee benefits.</t>
        </r>
      </text>
    </comment>
    <comment ref="Y142" authorId="2" shapeId="0" xr:uid="{D15E85DD-CECB-4392-B5CA-6E10B0B35315}">
      <text>
        <r>
          <rPr>
            <b/>
            <sz val="9"/>
            <color indexed="81"/>
            <rFont val="Tahoma"/>
            <family val="2"/>
          </rPr>
          <t>skoenig: 8</t>
        </r>
        <r>
          <rPr>
            <sz val="9"/>
            <color indexed="81"/>
            <rFont val="Tahoma"/>
            <family val="2"/>
          </rPr>
          <t xml:space="preserve"> hoiurs per week  X 16 weeks X $12.00 per hour = $1,536.  Movies &amp; Bonfire:  8 weeks x 6 hours per week X $12.00 / hour = $576
use $2,100.  Add UD Summer Intern - $7,500.</t>
        </r>
      </text>
    </comment>
    <comment ref="AA142" authorId="0" shapeId="0" xr:uid="{EE364108-69E5-4461-BC05-D9182AA50958}">
      <text>
        <r>
          <rPr>
            <b/>
            <sz val="9"/>
            <color indexed="81"/>
            <rFont val="Tahoma"/>
            <family val="2"/>
          </rPr>
          <t>Sheena Gossett:</t>
        </r>
        <r>
          <rPr>
            <sz val="9"/>
            <color indexed="81"/>
            <rFont val="Tahoma"/>
            <family val="2"/>
          </rPr>
          <t xml:space="preserve">
8 hoiurs per week  X 19 weeks X $15.00 per hour = $1,995.
Add UD Summer Intern - $7,500.
The window duties for this position were covered by SG &amp; KB over summer 2020 and will done this next year also.  Bonfires &amp; Movie coverage done by volunteers
</t>
        </r>
      </text>
    </comment>
    <comment ref="AA147" authorId="0" shapeId="0" xr:uid="{9CD968BF-4531-4570-A300-1BA88C15DB3E}">
      <text>
        <r>
          <rPr>
            <b/>
            <sz val="9"/>
            <color indexed="81"/>
            <rFont val="Tahoma"/>
            <family val="2"/>
          </rPr>
          <t>Sheena Gossett:</t>
        </r>
        <r>
          <rPr>
            <sz val="9"/>
            <color indexed="81"/>
            <rFont val="Tahoma"/>
            <family val="2"/>
          </rPr>
          <t xml:space="preserve">
Comcast - 1,652.28
Delmarva Power - 3,505.65
Sussex Co - 1.825.32
Verizon - LD - 1.003.63
Verizon (3 accts) - 7,861.54
$100/mo TM Reimbursement</t>
        </r>
      </text>
    </comment>
    <comment ref="AA153" authorId="0" shapeId="0" xr:uid="{CE89CCA3-C4FE-48D9-B547-B2E79E0AB42D}">
      <text>
        <r>
          <rPr>
            <b/>
            <sz val="9"/>
            <color indexed="81"/>
            <rFont val="Tahoma"/>
            <family val="2"/>
          </rPr>
          <t>Sheena Gossett:</t>
        </r>
        <r>
          <rPr>
            <sz val="9"/>
            <color indexed="81"/>
            <rFont val="Tahoma"/>
            <family val="2"/>
          </rPr>
          <t xml:space="preserve">
TM $400/mo reimbursement</t>
        </r>
      </text>
    </comment>
    <comment ref="AA156" authorId="0" shapeId="0" xr:uid="{14627A29-3676-4CBB-A1E2-4B3757DF4F8C}">
      <text>
        <r>
          <rPr>
            <b/>
            <sz val="9"/>
            <color indexed="81"/>
            <rFont val="Tahoma"/>
            <family val="2"/>
          </rPr>
          <t>Sheena Gossett:</t>
        </r>
        <r>
          <rPr>
            <sz val="9"/>
            <color indexed="81"/>
            <rFont val="Tahoma"/>
            <family val="2"/>
          </rPr>
          <t xml:space="preserve">
mass mailings going out with postage included in printing package
all postage for town will go through this one account no matter what department
Postage Meter Rental - $720
Postage
10k - CE
7.5k - Admin
2.5k - election</t>
        </r>
      </text>
    </comment>
    <comment ref="S157" authorId="0" shapeId="0" xr:uid="{4D3B2E20-DA51-456C-94BC-DD0A12B62B8A}">
      <text>
        <r>
          <rPr>
            <b/>
            <sz val="9"/>
            <color indexed="81"/>
            <rFont val="Tahoma"/>
            <family val="2"/>
          </rPr>
          <t>Sheena Gossett:</t>
        </r>
        <r>
          <rPr>
            <sz val="9"/>
            <color indexed="81"/>
            <rFont val="Tahoma"/>
            <family val="2"/>
          </rPr>
          <t xml:space="preserve">
Lyons 400 / month - 4800
Shore Scan 17 / month - 2088</t>
        </r>
      </text>
    </comment>
    <comment ref="Y157" authorId="1" shapeId="0" xr:uid="{90F5390C-4D53-4664-BBDF-66144D436989}">
      <text>
        <r>
          <rPr>
            <b/>
            <sz val="9"/>
            <color indexed="81"/>
            <rFont val="Tahoma"/>
            <family val="2"/>
          </rPr>
          <t>Scott Koenig:</t>
        </r>
        <r>
          <rPr>
            <sz val="9"/>
            <color indexed="81"/>
            <rFont val="Tahoma"/>
            <family val="2"/>
          </rPr>
          <t xml:space="preserve">
Payroll Processing - $5,000 Est.; Monthly accounting fees ($2,000); $28,350 for J. Dedes; HR Consultant - $700 X 12 = $8,400 ; ShoreScan $174 X 12 = $2,088.</t>
        </r>
      </text>
    </comment>
    <comment ref="AA157" authorId="0" shapeId="0" xr:uid="{A64F9919-9655-4036-8C87-770C7F02E24A}">
      <text>
        <r>
          <rPr>
            <b/>
            <sz val="9"/>
            <color indexed="81"/>
            <rFont val="Tahoma"/>
            <family val="2"/>
          </rPr>
          <t>Sheena Gossett:</t>
        </r>
        <r>
          <rPr>
            <sz val="9"/>
            <color indexed="81"/>
            <rFont val="Tahoma"/>
            <family val="2"/>
          </rPr>
          <t xml:space="preserve">
Replaced Luff w/ Financial Director - same rate, Jim Dedes $29,768, EZPayroll - $3,116.94, Lyons - increase in amount ot $700 per month = 8,400, Sure Scan - $2,583 (174 / mo + 495 annual), EAP Services $975</t>
        </r>
      </text>
    </comment>
    <comment ref="Y158" authorId="1" shapeId="0" xr:uid="{6BE489D7-FF82-4A7D-98D2-18FC33BB327D}">
      <text>
        <r>
          <rPr>
            <b/>
            <sz val="9"/>
            <color indexed="81"/>
            <rFont val="Tahoma"/>
            <family val="2"/>
          </rPr>
          <t>Scott Koenig:</t>
        </r>
        <r>
          <rPr>
            <sz val="9"/>
            <color indexed="81"/>
            <rFont val="Tahoma"/>
            <family val="2"/>
          </rPr>
          <t xml:space="preserve">
Public Officials Liability Insurance: $57,000 (est.). 50% of Town Hall Flood Insurance: $1,857; General Liability: 36% of $42,000 = $15,120.  As of 02/28/2020.</t>
        </r>
      </text>
    </comment>
    <comment ref="AA158" authorId="0" shapeId="0" xr:uid="{8E2AF7DB-E764-4A52-9EE4-520864371D4E}">
      <text>
        <r>
          <rPr>
            <b/>
            <sz val="9"/>
            <color indexed="81"/>
            <rFont val="Tahoma"/>
            <family val="2"/>
          </rPr>
          <t>Sheena Gossett:</t>
        </r>
        <r>
          <rPr>
            <sz val="9"/>
            <color indexed="81"/>
            <rFont val="Tahoma"/>
            <family val="2"/>
          </rPr>
          <t xml:space="preserve">
Decreased by 3k 02.24.21</t>
        </r>
      </text>
    </comment>
    <comment ref="AA160" authorId="0" shapeId="0" xr:uid="{156E114E-6EDE-4ABA-9AC5-3F38175835B6}">
      <text>
        <r>
          <rPr>
            <b/>
            <sz val="9"/>
            <color indexed="81"/>
            <rFont val="Tahoma"/>
            <family val="2"/>
          </rPr>
          <t>Sheena Gossett:</t>
        </r>
        <r>
          <rPr>
            <sz val="9"/>
            <color indexed="81"/>
            <rFont val="Tahoma"/>
            <family val="2"/>
          </rPr>
          <t xml:space="preserve">
More virtual training due to pandemic.</t>
        </r>
      </text>
    </comment>
    <comment ref="AA162" authorId="0" shapeId="0" xr:uid="{F9B9C069-6FD1-422A-B3C7-669D6D8A74C9}">
      <text>
        <r>
          <rPr>
            <b/>
            <sz val="9"/>
            <color indexed="81"/>
            <rFont val="Tahoma"/>
            <family val="2"/>
          </rPr>
          <t>Sheena Gossett:</t>
        </r>
        <r>
          <rPr>
            <sz val="9"/>
            <color indexed="81"/>
            <rFont val="Tahoma"/>
            <family val="2"/>
          </rPr>
          <t xml:space="preserve">
doubled from FY21 due to printing more out of house</t>
        </r>
      </text>
    </comment>
    <comment ref="Y169" authorId="1" shapeId="0" xr:uid="{F5F7B0FE-FA57-4931-87C7-51CA9B594386}">
      <text>
        <r>
          <rPr>
            <b/>
            <sz val="9"/>
            <color indexed="81"/>
            <rFont val="Tahoma"/>
            <family val="2"/>
          </rPr>
          <t>Scott Koenig:</t>
        </r>
        <r>
          <rPr>
            <sz val="9"/>
            <color indexed="81"/>
            <rFont val="Tahoma"/>
            <family val="2"/>
          </rPr>
          <t xml:space="preserve">
Estimated Payroll: $628,379 plus $10K for summer months = $638,500 (rounded).  Delete $10K - SDK - 03/16/2020.
</t>
        </r>
      </text>
    </comment>
    <comment ref="AA169" authorId="0" shapeId="0" xr:uid="{75BC05B0-B50B-4F7A-BDEA-00AB788498EB}">
      <text>
        <r>
          <rPr>
            <b/>
            <sz val="9"/>
            <color indexed="81"/>
            <rFont val="Tahoma"/>
            <family val="2"/>
          </rPr>
          <t>Sheena Gossett:</t>
        </r>
        <r>
          <rPr>
            <sz val="9"/>
            <color indexed="81"/>
            <rFont val="Tahoma"/>
            <family val="2"/>
          </rPr>
          <t xml:space="preserve">
4% increase</t>
        </r>
      </text>
    </comment>
    <comment ref="AA171" authorId="0" shapeId="0" xr:uid="{6300ADAD-6CB7-4883-8335-83DCA8253CF3}">
      <text>
        <r>
          <rPr>
            <b/>
            <sz val="9"/>
            <color indexed="81"/>
            <rFont val="Tahoma"/>
            <family val="2"/>
          </rPr>
          <t>Sheena Gossett:</t>
        </r>
        <r>
          <rPr>
            <sz val="9"/>
            <color indexed="81"/>
            <rFont val="Tahoma"/>
            <family val="2"/>
          </rPr>
          <t xml:space="preserve">
includes taxes on special event payroll
</t>
        </r>
      </text>
    </comment>
    <comment ref="AA172" authorId="0" shapeId="0" xr:uid="{AFE67235-A8DE-494D-9397-01BA6E234409}">
      <text>
        <r>
          <rPr>
            <b/>
            <sz val="9"/>
            <color indexed="81"/>
            <rFont val="Tahoma"/>
            <family val="2"/>
          </rPr>
          <t>Sheena Gossett:</t>
        </r>
        <r>
          <rPr>
            <sz val="9"/>
            <color indexed="81"/>
            <rFont val="Tahoma"/>
            <family val="2"/>
          </rPr>
          <t xml:space="preserve">
benefit total down b/c lost ee who had full fam cov replaced by ee w/only ee &amp; spouse</t>
        </r>
      </text>
    </comment>
    <comment ref="AA173" authorId="0" shapeId="0" xr:uid="{DE402B38-4826-487D-B7CD-0553966FF59E}">
      <text>
        <r>
          <rPr>
            <b/>
            <sz val="9"/>
            <color indexed="81"/>
            <rFont val="Tahoma"/>
            <family val="2"/>
          </rPr>
          <t>Sheena Gossett:</t>
        </r>
        <r>
          <rPr>
            <sz val="9"/>
            <color indexed="81"/>
            <rFont val="Tahoma"/>
            <family val="2"/>
          </rPr>
          <t xml:space="preserve">
16.84% from April - June
16.03% for July - March</t>
        </r>
      </text>
    </comment>
    <comment ref="Y174" authorId="1" shapeId="0" xr:uid="{219CD3CA-7D5B-4FE8-9FD1-A4D8CBC3D577}">
      <text>
        <r>
          <rPr>
            <b/>
            <sz val="9"/>
            <color indexed="81"/>
            <rFont val="Tahoma"/>
            <family val="2"/>
          </rPr>
          <t>Scott Koenig:</t>
        </r>
        <r>
          <rPr>
            <sz val="9"/>
            <color indexed="81"/>
            <rFont val="Tahoma"/>
            <family val="2"/>
          </rPr>
          <t xml:space="preserve">
Reduced from $8,000 to $7,500 on 03/17/2020 to get to a balanced budget.  SDK</t>
        </r>
      </text>
    </comment>
    <comment ref="AA174" authorId="0" shapeId="0" xr:uid="{7FB4A078-891F-40BF-8B79-6146E0E3B868}">
      <text>
        <r>
          <rPr>
            <b/>
            <sz val="9"/>
            <color indexed="81"/>
            <rFont val="Tahoma"/>
            <family val="2"/>
          </rPr>
          <t>Sheena Gossett:</t>
        </r>
        <r>
          <rPr>
            <sz val="9"/>
            <color indexed="81"/>
            <rFont val="Tahoma"/>
            <family val="2"/>
          </rPr>
          <t xml:space="preserve">
New bullet proof vests are needed
Paid for with LESO funds for this year only.</t>
        </r>
      </text>
    </comment>
    <comment ref="Y176" authorId="1" shapeId="0" xr:uid="{3C75A868-429A-414C-B1CB-0DCE9223E00A}">
      <text>
        <r>
          <rPr>
            <b/>
            <sz val="9"/>
            <color indexed="81"/>
            <rFont val="Tahoma"/>
            <family val="2"/>
          </rPr>
          <t>Scott Koenig:</t>
        </r>
        <r>
          <rPr>
            <sz val="9"/>
            <color indexed="81"/>
            <rFont val="Tahoma"/>
            <family val="2"/>
          </rPr>
          <t xml:space="preserve">
9.19% increase of prior year.</t>
        </r>
      </text>
    </comment>
    <comment ref="AA176" authorId="0" shapeId="0" xr:uid="{89CE428A-BA9E-4868-9FBD-6952F1681C15}">
      <text>
        <r>
          <rPr>
            <b/>
            <sz val="9"/>
            <color indexed="81"/>
            <rFont val="Tahoma"/>
            <family val="2"/>
          </rPr>
          <t>Sheena Gossett:</t>
        </r>
        <r>
          <rPr>
            <sz val="9"/>
            <color indexed="81"/>
            <rFont val="Tahoma"/>
            <family val="2"/>
          </rPr>
          <t xml:space="preserve">
Difference between here &amp; ee obligation chart is Special Event payroll (with taxes) and uniforms
</t>
        </r>
      </text>
    </comment>
    <comment ref="AA178" authorId="0" shapeId="0" xr:uid="{5C366967-4C01-4918-A6F9-2095882C157F}">
      <text>
        <r>
          <rPr>
            <b/>
            <sz val="9"/>
            <color indexed="81"/>
            <rFont val="Tahoma"/>
            <family val="2"/>
          </rPr>
          <t>Sheena Gossett:</t>
        </r>
        <r>
          <rPr>
            <sz val="9"/>
            <color indexed="81"/>
            <rFont val="Tahoma"/>
            <family val="2"/>
          </rPr>
          <t xml:space="preserve">
4% increase</t>
        </r>
      </text>
    </comment>
    <comment ref="Y185" authorId="1" shapeId="0" xr:uid="{8B6CDE63-30DC-45BE-B342-EE9C5CA6514C}">
      <text>
        <r>
          <rPr>
            <b/>
            <sz val="9"/>
            <color indexed="81"/>
            <rFont val="Tahoma"/>
            <family val="2"/>
          </rPr>
          <t>Scott Koenig:</t>
        </r>
        <r>
          <rPr>
            <sz val="9"/>
            <color indexed="81"/>
            <rFont val="Tahoma"/>
            <family val="2"/>
          </rPr>
          <t xml:space="preserve">
20 Officers - (10 @ $13.50, 10 @ $13.75) x 40 hours X 18 weeks = $196,200.  Dispatchers (2 x 40 x 18 weeks x $11.00 per hour = $15,840.  Total: $212,040.
</t>
        </r>
      </text>
    </comment>
    <comment ref="AA185" authorId="0" shapeId="0" xr:uid="{5B191A5B-C4AC-45FC-8FA9-7CCF49E3AC35}">
      <text>
        <r>
          <rPr>
            <b/>
            <sz val="9"/>
            <color indexed="81"/>
            <rFont val="Tahoma"/>
            <family val="2"/>
          </rPr>
          <t>Sheena Gossett:</t>
        </r>
        <r>
          <rPr>
            <sz val="9"/>
            <color indexed="81"/>
            <rFont val="Tahoma"/>
            <family val="2"/>
          </rPr>
          <t xml:space="preserve">
20 officers
match 1st &amp; 2nd year pay of lifeguards for 1st &amp; 2nd year guards</t>
        </r>
      </text>
    </comment>
    <comment ref="AA186" authorId="0" shapeId="0" xr:uid="{F2DF2037-D927-41F6-8212-73E12A4ECC05}">
      <text>
        <r>
          <rPr>
            <b/>
            <sz val="9"/>
            <color indexed="81"/>
            <rFont val="Tahoma"/>
            <family val="2"/>
          </rPr>
          <t>Sheena Gossett:</t>
        </r>
        <r>
          <rPr>
            <sz val="9"/>
            <color indexed="81"/>
            <rFont val="Tahoma"/>
            <family val="2"/>
          </rPr>
          <t xml:space="preserve">
this is at 9% due to the unemployment threashhold that seasonals don't hit.  </t>
        </r>
      </text>
    </comment>
    <comment ref="AA191" authorId="0" shapeId="0" xr:uid="{CD86C542-A063-47EE-8A4C-4DA3B04DE272}">
      <text>
        <r>
          <rPr>
            <b/>
            <sz val="9"/>
            <color indexed="81"/>
            <rFont val="Tahoma"/>
            <family val="2"/>
          </rPr>
          <t>Sheena Gossett:</t>
        </r>
        <r>
          <rPr>
            <sz val="9"/>
            <color indexed="81"/>
            <rFont val="Tahoma"/>
            <family val="2"/>
          </rPr>
          <t xml:space="preserve">
Comcast - 1,652.28
Video Server - 2,144.64
Delmarva Power - 3,505.65
Sussex Co - 1.825.32
Verizon 6,811.03
Verizon Wireless(3 accts) - 6,779.50
</t>
        </r>
      </text>
    </comment>
    <comment ref="Y197" authorId="1" shapeId="0" xr:uid="{863D813F-5D18-4459-AF08-51B722F9543E}">
      <text>
        <r>
          <rPr>
            <b/>
            <sz val="9"/>
            <color indexed="81"/>
            <rFont val="Tahoma"/>
            <family val="2"/>
          </rPr>
          <t>Scott Koenig:</t>
        </r>
        <r>
          <rPr>
            <sz val="9"/>
            <color indexed="81"/>
            <rFont val="Tahoma"/>
            <family val="2"/>
          </rPr>
          <t xml:space="preserve">
Reduced from $27K to $26K on 03/16/2020.</t>
        </r>
      </text>
    </comment>
    <comment ref="AA197" authorId="0" shapeId="0" xr:uid="{44DE5954-F77B-4547-B663-F7D32D556CE3}">
      <text>
        <r>
          <rPr>
            <b/>
            <sz val="9"/>
            <color indexed="81"/>
            <rFont val="Tahoma"/>
            <family val="2"/>
          </rPr>
          <t>Sheena Gossett:</t>
        </r>
        <r>
          <rPr>
            <sz val="9"/>
            <color indexed="81"/>
            <rFont val="Tahoma"/>
            <family val="2"/>
          </rPr>
          <t xml:space="preserve">
Monthly avg for FY21 is $2,021.98 but prices are going back up.</t>
        </r>
      </text>
    </comment>
    <comment ref="AA199" authorId="0" shapeId="0" xr:uid="{6002DA47-1F28-46D2-8002-B2E95B279F9C}">
      <text>
        <r>
          <rPr>
            <b/>
            <sz val="9"/>
            <color indexed="81"/>
            <rFont val="Tahoma"/>
            <family val="2"/>
          </rPr>
          <t>Sheena Gossett:</t>
        </r>
        <r>
          <rPr>
            <sz val="9"/>
            <color indexed="81"/>
            <rFont val="Tahoma"/>
            <family val="2"/>
          </rPr>
          <t xml:space="preserve">
vehicles are aging leading to more repairs</t>
        </r>
      </text>
    </comment>
    <comment ref="Y203" authorId="1" shapeId="0" xr:uid="{A191B57B-9CE8-4A83-AD77-A0A7A5FF7F5E}">
      <text>
        <r>
          <rPr>
            <b/>
            <sz val="9"/>
            <color indexed="81"/>
            <rFont val="Tahoma"/>
            <family val="2"/>
          </rPr>
          <t>Scott Koenig:</t>
        </r>
        <r>
          <rPr>
            <sz val="9"/>
            <color indexed="81"/>
            <rFont val="Tahoma"/>
            <family val="2"/>
          </rPr>
          <t xml:space="preserve">
Lexipol subscription - $7,000.  Strategic Plan - $2,500.  Misc. Support - $7,500
.</t>
        </r>
      </text>
    </comment>
    <comment ref="AA203" authorId="0" shapeId="0" xr:uid="{4D1A83E9-F92E-4DDD-B77B-DED82A582E94}">
      <text>
        <r>
          <rPr>
            <b/>
            <sz val="9"/>
            <color indexed="81"/>
            <rFont val="Tahoma"/>
            <family val="2"/>
          </rPr>
          <t>Sheena Gossett:</t>
        </r>
        <r>
          <rPr>
            <sz val="9"/>
            <color indexed="81"/>
            <rFont val="Tahoma"/>
            <family val="2"/>
          </rPr>
          <t xml:space="preserve">
Lexipol subscription - $7,000.  Strategic Plan - $2,500.  Misc. Support - $7,500.  Additional funds for major policy review requested by Chief</t>
        </r>
      </text>
    </comment>
    <comment ref="Y205" authorId="1" shapeId="0" xr:uid="{6EBF8038-A33A-442F-902E-C1B74B95319A}">
      <text>
        <r>
          <rPr>
            <b/>
            <sz val="9"/>
            <color indexed="81"/>
            <rFont val="Tahoma"/>
            <family val="2"/>
          </rPr>
          <t>Scott Koenig:</t>
        </r>
        <r>
          <rPr>
            <sz val="9"/>
            <color indexed="81"/>
            <rFont val="Tahoma"/>
            <family val="2"/>
          </rPr>
          <t xml:space="preserve">
Law Enforcement Liability Insurance: $50,000 (7/1/19); 50% of Flood Insurance: $1,857; 64% of General Liability &amp; Property ($42,000) = $26,880.  As of 02/28/2020</t>
        </r>
      </text>
    </comment>
    <comment ref="AA205" authorId="0" shapeId="0" xr:uid="{5198B56C-2401-48C4-BA91-909F48C00619}">
      <text>
        <r>
          <rPr>
            <b/>
            <sz val="9"/>
            <color indexed="81"/>
            <rFont val="Tahoma"/>
            <family val="2"/>
          </rPr>
          <t>Sheena Gossett:</t>
        </r>
        <r>
          <rPr>
            <sz val="9"/>
            <color indexed="81"/>
            <rFont val="Tahoma"/>
            <family val="2"/>
          </rPr>
          <t xml:space="preserve">
rates decreaseing
</t>
        </r>
      </text>
    </comment>
    <comment ref="AA206" authorId="0" shapeId="0" xr:uid="{005D92C1-0013-4E96-90B7-091545B30DF4}">
      <text>
        <r>
          <rPr>
            <b/>
            <sz val="9"/>
            <color indexed="81"/>
            <rFont val="Tahoma"/>
            <family val="2"/>
          </rPr>
          <t>Sheena Gossett:</t>
        </r>
        <r>
          <rPr>
            <sz val="9"/>
            <color indexed="81"/>
            <rFont val="Tahoma"/>
            <family val="2"/>
          </rPr>
          <t xml:space="preserve">
based on FY21 usage</t>
        </r>
      </text>
    </comment>
    <comment ref="Y207" authorId="1" shapeId="0" xr:uid="{CD7440DE-62F0-4964-8DE1-C78366200393}">
      <text>
        <r>
          <rPr>
            <b/>
            <sz val="9"/>
            <color indexed="81"/>
            <rFont val="Tahoma"/>
            <family val="2"/>
          </rPr>
          <t>Scott Koenig:</t>
        </r>
        <r>
          <rPr>
            <sz val="9"/>
            <color indexed="81"/>
            <rFont val="Tahoma"/>
            <family val="2"/>
          </rPr>
          <t xml:space="preserve">
$985 - for liability training for seasonal officers; $495 for sound meter training of seasonal officers; $1200 for general training at DE State Fire School
; $985 for Active Shoorter Training (4 hours - FT officers); De-Escalation Training - $1,200.   03/07/2020 - DM request $7-8K; use $7,500</t>
        </r>
      </text>
    </comment>
    <comment ref="AA207" authorId="0" shapeId="0" xr:uid="{0F4DBE25-B23F-4ACF-8D01-F64B2CEBDE84}">
      <text>
        <r>
          <rPr>
            <b/>
            <sz val="9"/>
            <color indexed="81"/>
            <rFont val="Tahoma"/>
            <family val="2"/>
          </rPr>
          <t>Sheena Gossett:</t>
        </r>
        <r>
          <rPr>
            <sz val="9"/>
            <color indexed="81"/>
            <rFont val="Tahoma"/>
            <family val="2"/>
          </rPr>
          <t xml:space="preserve">
Additional funds for training requested by Chief
Paid for with LESO funds for this year only</t>
        </r>
      </text>
    </comment>
    <comment ref="Y217" authorId="1" shapeId="0" xr:uid="{5961AA53-F950-48F0-A668-08C20485B890}">
      <text>
        <r>
          <rPr>
            <b/>
            <sz val="9"/>
            <color indexed="81"/>
            <rFont val="Tahoma"/>
            <family val="2"/>
          </rPr>
          <t>Scott Koenig:</t>
        </r>
        <r>
          <rPr>
            <sz val="9"/>
            <color indexed="81"/>
            <rFont val="Tahoma"/>
            <family val="2"/>
          </rPr>
          <t xml:space="preserve">
03/07/2020 - Commissioner Cooke requested 20 hours per week summer help = 20 hours x 18 weeks x $15.00 per hour = $5,400.  Remove $5,400 as not required.</t>
        </r>
      </text>
    </comment>
    <comment ref="AA217" authorId="0" shapeId="0" xr:uid="{488BA59E-5AD1-4D85-ACCC-02112796EF3A}">
      <text>
        <r>
          <rPr>
            <b/>
            <sz val="9"/>
            <color indexed="81"/>
            <rFont val="Tahoma"/>
            <family val="2"/>
          </rPr>
          <t>Sheena Gossett:</t>
        </r>
        <r>
          <rPr>
            <sz val="9"/>
            <color indexed="81"/>
            <rFont val="Tahoma"/>
            <family val="2"/>
          </rPr>
          <t xml:space="preserve">
no part time assistance for mowing
</t>
        </r>
      </text>
    </comment>
    <comment ref="AA225" authorId="0" shapeId="0" xr:uid="{78F6299B-6765-4503-8CB3-C12727CA8CF2}">
      <text>
        <r>
          <rPr>
            <b/>
            <sz val="9"/>
            <color indexed="81"/>
            <rFont val="Tahoma"/>
            <family val="2"/>
          </rPr>
          <t>Sheena Gossett:</t>
        </r>
        <r>
          <rPr>
            <sz val="9"/>
            <color indexed="81"/>
            <rFont val="Tahoma"/>
            <family val="2"/>
          </rPr>
          <t xml:space="preserve">
City of Rehoboth - Water - 354.24, Delmarva Power - 1,143.26, Sewer - 295, Verizon - 779.88, Wireless 9 556.65</t>
        </r>
      </text>
    </comment>
    <comment ref="Y233" authorId="1" shapeId="0" xr:uid="{92F83FFD-020C-40B7-8811-7ACF8B856037}">
      <text>
        <r>
          <rPr>
            <b/>
            <sz val="9"/>
            <color indexed="81"/>
            <rFont val="Tahoma"/>
            <family val="2"/>
          </rPr>
          <t>Scott Koenig:</t>
        </r>
        <r>
          <rPr>
            <sz val="9"/>
            <color indexed="81"/>
            <rFont val="Tahoma"/>
            <family val="2"/>
          </rPr>
          <t xml:space="preserve">
This was formerly a worker's comp charge line.  </t>
        </r>
      </text>
    </comment>
    <comment ref="Y242" authorId="1" shapeId="0" xr:uid="{389191E3-DB12-4A0C-8D17-3D0AD5854C17}">
      <text>
        <r>
          <rPr>
            <b/>
            <sz val="9"/>
            <color indexed="81"/>
            <rFont val="Tahoma"/>
            <family val="2"/>
          </rPr>
          <t>Scott Koenig:</t>
        </r>
        <r>
          <rPr>
            <sz val="9"/>
            <color indexed="81"/>
            <rFont val="Tahoma"/>
            <family val="2"/>
          </rPr>
          <t xml:space="preserve">
Est. Wages:  $74,519 plus additional straight pay ($1,470) = $75,989; Use 10% addiitional overtime ($7,599) = $83,588.</t>
        </r>
      </text>
    </comment>
    <comment ref="AA242" authorId="0" shapeId="0" xr:uid="{7772DFAB-678F-45DE-9DD3-41FD7753B03E}">
      <text>
        <r>
          <rPr>
            <b/>
            <sz val="9"/>
            <color indexed="81"/>
            <rFont val="Tahoma"/>
            <family val="2"/>
          </rPr>
          <t>Sheena Gossett:</t>
        </r>
        <r>
          <rPr>
            <sz val="9"/>
            <color indexed="81"/>
            <rFont val="Tahoma"/>
            <family val="2"/>
          </rPr>
          <t xml:space="preserve">
2% raise however fewer extra hours worked as having more seasonal employees they can help.
02.08.21 changed back to FY21 total </t>
        </r>
      </text>
    </comment>
    <comment ref="G249" authorId="2" shapeId="0" xr:uid="{D0BAEFF3-FD43-40E7-84B0-16F95E9D4A2E}">
      <text>
        <r>
          <rPr>
            <b/>
            <sz val="9"/>
            <color indexed="81"/>
            <rFont val="Tahoma"/>
            <family val="2"/>
          </rPr>
          <t>skoenig:</t>
        </r>
        <r>
          <rPr>
            <sz val="9"/>
            <color indexed="81"/>
            <rFont val="Tahoma"/>
            <family val="2"/>
          </rPr>
          <t xml:space="preserve">
5,600 manhours from 04/01/18-10/15/18
</t>
        </r>
      </text>
    </comment>
    <comment ref="Y250" authorId="1" shapeId="0" xr:uid="{80F79D08-52AC-4B83-8628-F5C36211A310}">
      <text>
        <r>
          <rPr>
            <b/>
            <sz val="9"/>
            <color indexed="81"/>
            <rFont val="Tahoma"/>
            <family val="2"/>
          </rPr>
          <t>Scott Koenig:</t>
        </r>
        <r>
          <rPr>
            <sz val="9"/>
            <color indexed="81"/>
            <rFont val="Tahoma"/>
            <family val="2"/>
          </rPr>
          <t xml:space="preserve">
Est. 6,000 hours @ $13.75 per hour = $82,500.  FY-20 rates were $12.50 - $13.50 
per hour.
</t>
        </r>
      </text>
    </comment>
    <comment ref="AA250" authorId="0" shapeId="0" xr:uid="{8F3E38B9-8CF6-465D-B4BB-BDE9FC1F95C8}">
      <text>
        <r>
          <rPr>
            <b/>
            <sz val="9"/>
            <color indexed="81"/>
            <rFont val="Tahoma"/>
            <family val="2"/>
          </rPr>
          <t>Sheena Gossett:</t>
        </r>
        <r>
          <rPr>
            <sz val="9"/>
            <color indexed="81"/>
            <rFont val="Tahoma"/>
            <family val="2"/>
          </rPr>
          <t xml:space="preserve">
Reduced hours and rate per workshop 01.21.21
6000 hrs / 22 weeks = 270 hrs / week / 10 employees = 27 hrs / ee / week @$14/hr = 84k
</t>
        </r>
      </text>
    </comment>
    <comment ref="AA251" authorId="0" shapeId="0" xr:uid="{1D8A2B87-A4CA-425A-99C7-5296309EB702}">
      <text>
        <r>
          <rPr>
            <b/>
            <sz val="9"/>
            <color indexed="81"/>
            <rFont val="Tahoma"/>
            <family val="2"/>
          </rPr>
          <t>Sheena Gossett:</t>
        </r>
        <r>
          <rPr>
            <sz val="9"/>
            <color indexed="81"/>
            <rFont val="Tahoma"/>
            <family val="2"/>
          </rPr>
          <t xml:space="preserve">
this is at 9% due to the unemployment threashhold that seasonals don't hit.  </t>
        </r>
      </text>
    </comment>
    <comment ref="AA256" authorId="0" shapeId="0" xr:uid="{7BB98CED-D10D-4910-801C-2B1EB1742E5B}">
      <text>
        <r>
          <rPr>
            <b/>
            <sz val="9"/>
            <color indexed="81"/>
            <rFont val="Tahoma"/>
            <family val="2"/>
          </rPr>
          <t>Sheena Gossett:</t>
        </r>
        <r>
          <rPr>
            <sz val="9"/>
            <color indexed="81"/>
            <rFont val="Tahoma"/>
            <family val="2"/>
          </rPr>
          <t xml:space="preserve">
Comcast - 3,302.64
Delmarva Power - 4,117.92
Sussex County Water - 1,039.56
Verizon Wireless + Merle compensation - 4,049.40</t>
        </r>
      </text>
    </comment>
    <comment ref="S257" authorId="0" shapeId="0" xr:uid="{04A099C1-61C8-4349-8712-E7AE68DA2327}">
      <text>
        <r>
          <rPr>
            <b/>
            <sz val="9"/>
            <color indexed="81"/>
            <rFont val="Tahoma"/>
            <family val="2"/>
          </rPr>
          <t>Sheena Gossett:</t>
        </r>
        <r>
          <rPr>
            <sz val="9"/>
            <color indexed="81"/>
            <rFont val="Tahoma"/>
            <family val="2"/>
          </rPr>
          <t xml:space="preserve">
Dept cleans offices themselves - does not like cleaning company</t>
        </r>
      </text>
    </comment>
    <comment ref="Y257" authorId="1" shapeId="0" xr:uid="{7016D8E6-D529-42B3-8EDC-CAC1EB743977}">
      <text>
        <r>
          <rPr>
            <b/>
            <sz val="9"/>
            <color indexed="81"/>
            <rFont val="Tahoma"/>
            <family val="2"/>
          </rPr>
          <t>Scott Koenig:</t>
        </r>
        <r>
          <rPr>
            <sz val="9"/>
            <color indexed="81"/>
            <rFont val="Tahoma"/>
            <family val="2"/>
          </rPr>
          <t xml:space="preserve">
Dept cleans offices themselves.  Does not want to use cleaning company</t>
        </r>
      </text>
    </comment>
    <comment ref="AA259" authorId="0" shapeId="0" xr:uid="{494A5A0A-A371-4402-8F4B-688B3BC6A1DA}">
      <text>
        <r>
          <rPr>
            <b/>
            <sz val="9"/>
            <color indexed="81"/>
            <rFont val="Tahoma"/>
            <family val="2"/>
          </rPr>
          <t>Sheena Gossett:</t>
        </r>
        <r>
          <rPr>
            <sz val="9"/>
            <color indexed="81"/>
            <rFont val="Tahoma"/>
            <family val="2"/>
          </rPr>
          <t xml:space="preserve">
added 3.3k for new a/c unit
02.24.21
</t>
        </r>
      </text>
    </comment>
    <comment ref="AA262" authorId="0" shapeId="0" xr:uid="{A54F09FC-43A7-4A87-AE68-BCFC13CBE270}">
      <text>
        <r>
          <rPr>
            <b/>
            <sz val="9"/>
            <color indexed="81"/>
            <rFont val="Tahoma"/>
            <family val="2"/>
          </rPr>
          <t>Sheena Gossett:</t>
        </r>
        <r>
          <rPr>
            <sz val="9"/>
            <color indexed="81"/>
            <rFont val="Tahoma"/>
            <family val="2"/>
          </rPr>
          <t xml:space="preserve">
for gator &amp; / or van
50% higher than lifeguards</t>
        </r>
      </text>
    </comment>
    <comment ref="AA264" authorId="0" shapeId="0" xr:uid="{7D6ECBF6-E734-4364-9CE3-EA15F8708613}">
      <text>
        <r>
          <rPr>
            <b/>
            <sz val="9"/>
            <color indexed="81"/>
            <rFont val="Tahoma"/>
            <family val="2"/>
          </rPr>
          <t>Sheena Gossett:</t>
        </r>
        <r>
          <rPr>
            <sz val="9"/>
            <color indexed="81"/>
            <rFont val="Tahoma"/>
            <family val="2"/>
          </rPr>
          <t xml:space="preserve">
added for gator and/or van</t>
        </r>
      </text>
    </comment>
    <comment ref="S267" authorId="0" shapeId="0" xr:uid="{56504EA4-092B-4C4F-9EE6-7520BD20AB5E}">
      <text>
        <r>
          <rPr>
            <b/>
            <sz val="9"/>
            <color indexed="81"/>
            <rFont val="Tahoma"/>
            <family val="2"/>
          </rPr>
          <t>Sheena Gossett:</t>
        </r>
        <r>
          <rPr>
            <sz val="9"/>
            <color indexed="81"/>
            <rFont val="Tahoma"/>
            <family val="2"/>
          </rPr>
          <t xml:space="preserve">
Department is purchasing stamps even though being allocated from TH postage charges</t>
        </r>
      </text>
    </comment>
    <comment ref="S268" authorId="0" shapeId="0" xr:uid="{581EEBBA-CDCD-4865-8354-8BCBDE92FEA4}">
      <text>
        <r>
          <rPr>
            <b/>
            <sz val="9"/>
            <color indexed="81"/>
            <rFont val="Tahoma"/>
            <family val="2"/>
          </rPr>
          <t>Sheena Gossett:</t>
        </r>
        <r>
          <rPr>
            <sz val="9"/>
            <color indexed="81"/>
            <rFont val="Tahoma"/>
            <family val="2"/>
          </rPr>
          <t xml:space="preserve">
Been Verified - Just added in January - hit credit card if February</t>
        </r>
      </text>
    </comment>
    <comment ref="S271" authorId="0" shapeId="0" xr:uid="{79900E95-898B-4E96-8B37-C2AB94CA1151}">
      <text>
        <r>
          <rPr>
            <b/>
            <sz val="9"/>
            <color indexed="81"/>
            <rFont val="Tahoma"/>
            <family val="2"/>
          </rPr>
          <t>Sheena Gossett:</t>
        </r>
        <r>
          <rPr>
            <sz val="9"/>
            <color indexed="81"/>
            <rFont val="Tahoma"/>
            <family val="2"/>
          </rPr>
          <t xml:space="preserve">
Supervisor weeklong trip to conference included in this total</t>
        </r>
      </text>
    </comment>
    <comment ref="Y271" authorId="0" shapeId="0" xr:uid="{4E986808-5680-4912-B41B-6EC88995D189}">
      <text>
        <r>
          <rPr>
            <b/>
            <sz val="9"/>
            <color indexed="81"/>
            <rFont val="Tahoma"/>
            <family val="2"/>
          </rPr>
          <t>Sheena Gossett:</t>
        </r>
        <r>
          <rPr>
            <sz val="9"/>
            <color indexed="81"/>
            <rFont val="Tahoma"/>
            <family val="2"/>
          </rPr>
          <t xml:space="preserve">
</t>
        </r>
      </text>
    </comment>
    <comment ref="AA271" authorId="0" shapeId="0" xr:uid="{93C6F37E-64D6-404F-AFEC-2AD3DE9B5FCA}">
      <text>
        <r>
          <rPr>
            <b/>
            <sz val="9"/>
            <color indexed="81"/>
            <rFont val="Tahoma"/>
            <family val="2"/>
          </rPr>
          <t>Sheena Gossett:</t>
        </r>
        <r>
          <rPr>
            <sz val="9"/>
            <color indexed="81"/>
            <rFont val="Tahoma"/>
            <family val="2"/>
          </rPr>
          <t xml:space="preserve">
In person training frozen for year
</t>
        </r>
      </text>
    </comment>
    <comment ref="AA280" authorId="0" shapeId="0" xr:uid="{239767D8-7A6D-44F2-9115-4EEB9EAE6D33}">
      <text>
        <r>
          <rPr>
            <b/>
            <sz val="9"/>
            <color indexed="81"/>
            <rFont val="Tahoma"/>
            <family val="2"/>
          </rPr>
          <t>Sheena Gossett:</t>
        </r>
        <r>
          <rPr>
            <sz val="9"/>
            <color indexed="81"/>
            <rFont val="Tahoma"/>
            <family val="2"/>
          </rPr>
          <t xml:space="preserve">
removed extra person but kept 15k for assistance per workshop 01.21.21
added an additional part time employee.  This person would be out in the field keeping an eye on things to make sure there is no construction being done without permit.  Been difficult to do that to extent needed and approve permits to code.
4% raise </t>
        </r>
      </text>
    </comment>
    <comment ref="AA284" authorId="0" shapeId="0" xr:uid="{315A0D6A-96C0-42CA-ABBF-7BD33BB49EFD}">
      <text>
        <r>
          <rPr>
            <b/>
            <sz val="9"/>
            <color indexed="81"/>
            <rFont val="Tahoma"/>
            <family val="2"/>
          </rPr>
          <t>Sheena Gossett:</t>
        </r>
        <r>
          <rPr>
            <sz val="9"/>
            <color indexed="81"/>
            <rFont val="Tahoma"/>
            <family val="2"/>
          </rPr>
          <t xml:space="preserve">
decreased to 350 02.24.21</t>
        </r>
      </text>
    </comment>
    <comment ref="Y301" authorId="1" shapeId="0" xr:uid="{81DE666C-EEF3-43E5-8A72-B919E8E30E1B}">
      <text>
        <r>
          <rPr>
            <b/>
            <sz val="9"/>
            <color indexed="81"/>
            <rFont val="Tahoma"/>
            <family val="2"/>
          </rPr>
          <t>Scott Koenig:</t>
        </r>
        <r>
          <rPr>
            <sz val="9"/>
            <color indexed="81"/>
            <rFont val="Tahoma"/>
            <family val="2"/>
          </rPr>
          <t xml:space="preserve">
$70,500 less Sunday Court ($3,575) = $66,925.  No Increase for the Judges.  03/07/2020 - Use $71,925 Less Sunday Court ($3,575) = $68,350</t>
        </r>
      </text>
    </comment>
    <comment ref="AA301" authorId="0" shapeId="0" xr:uid="{F2FA8C66-64DE-40D7-9B2F-1D7D68F1570B}">
      <text>
        <r>
          <rPr>
            <b/>
            <sz val="9"/>
            <color indexed="81"/>
            <rFont val="Tahoma"/>
            <family val="2"/>
          </rPr>
          <t>Sheena Gossett:</t>
        </r>
        <r>
          <rPr>
            <sz val="9"/>
            <color indexed="81"/>
            <rFont val="Tahoma"/>
            <family val="2"/>
          </rPr>
          <t xml:space="preserve">
FY21 Budget didn't include bailiff pay in estimate
no raise for judges
new clerk at $16.50/hr</t>
        </r>
      </text>
    </comment>
    <comment ref="S302" authorId="0" shapeId="0" xr:uid="{2C17D00E-B9E4-41DF-9D27-5AEE1A4B29C4}">
      <text>
        <r>
          <rPr>
            <b/>
            <sz val="9"/>
            <color indexed="81"/>
            <rFont val="Tahoma"/>
            <family val="2"/>
          </rPr>
          <t>Sheena Gossett:</t>
        </r>
        <r>
          <rPr>
            <sz val="9"/>
            <color indexed="81"/>
            <rFont val="Tahoma"/>
            <family val="2"/>
          </rPr>
          <t xml:space="preserve">
This account is not being used</t>
        </r>
      </text>
    </comment>
    <comment ref="W302" authorId="0" shapeId="0" xr:uid="{1DC01073-7FDA-4F25-B361-225BAD38032C}">
      <text>
        <r>
          <rPr>
            <b/>
            <sz val="9"/>
            <color indexed="81"/>
            <rFont val="Tahoma"/>
            <family val="2"/>
          </rPr>
          <t>Sheena Gossett:</t>
        </r>
        <r>
          <rPr>
            <sz val="9"/>
            <color indexed="81"/>
            <rFont val="Tahoma"/>
            <family val="2"/>
          </rPr>
          <t xml:space="preserve">
This account is not being used</t>
        </r>
      </text>
    </comment>
    <comment ref="AA304" authorId="0" shapeId="0" xr:uid="{758E6403-3176-4893-8B27-082E1C85C3D0}">
      <text>
        <r>
          <rPr>
            <b/>
            <sz val="9"/>
            <color indexed="81"/>
            <rFont val="Tahoma"/>
            <family val="2"/>
          </rPr>
          <t>Sheena Gossett:</t>
        </r>
        <r>
          <rPr>
            <sz val="9"/>
            <color indexed="81"/>
            <rFont val="Tahoma"/>
            <family val="2"/>
          </rPr>
          <t xml:space="preserve">
Includes new robe for Assistant Alderman</t>
        </r>
      </text>
    </comment>
    <comment ref="Y308" authorId="2" shapeId="0" xr:uid="{5F0D3D2A-4065-4AA8-9827-E398DA44D6C5}">
      <text>
        <r>
          <rPr>
            <b/>
            <sz val="9"/>
            <color indexed="81"/>
            <rFont val="Tahoma"/>
            <family val="2"/>
          </rPr>
          <t>skoenig:</t>
        </r>
        <r>
          <rPr>
            <sz val="9"/>
            <color indexed="81"/>
            <rFont val="Tahoma"/>
            <family val="2"/>
          </rPr>
          <t xml:space="preserve">
Est. = $100.00 per month for 12 months.</t>
        </r>
      </text>
    </comment>
    <comment ref="S310" authorId="0" shapeId="0" xr:uid="{C298539A-2432-410E-A0C2-52FA0F3418DC}">
      <text>
        <r>
          <rPr>
            <b/>
            <sz val="9"/>
            <color indexed="81"/>
            <rFont val="Tahoma"/>
            <family val="2"/>
          </rPr>
          <t>Sheena Gossett:</t>
        </r>
        <r>
          <rPr>
            <sz val="9"/>
            <color indexed="81"/>
            <rFont val="Tahoma"/>
            <family val="2"/>
          </rPr>
          <t xml:space="preserve">
No insurance charged to this department outside of WC</t>
        </r>
      </text>
    </comment>
    <comment ref="W310" authorId="0" shapeId="0" xr:uid="{E32EA7B2-81BD-49C5-928B-B3583B4F455D}">
      <text>
        <r>
          <rPr>
            <b/>
            <sz val="9"/>
            <color indexed="81"/>
            <rFont val="Tahoma"/>
            <family val="2"/>
          </rPr>
          <t>Sheena Gossett:</t>
        </r>
        <r>
          <rPr>
            <sz val="9"/>
            <color indexed="81"/>
            <rFont val="Tahoma"/>
            <family val="2"/>
          </rPr>
          <t xml:space="preserve">
No insurance charged to this department outside of WC</t>
        </r>
      </text>
    </comment>
    <comment ref="AA312" authorId="0" shapeId="0" xr:uid="{1674F99E-1AA5-4973-8DCE-632DF051F37E}">
      <text>
        <r>
          <rPr>
            <b/>
            <sz val="9"/>
            <color indexed="81"/>
            <rFont val="Tahoma"/>
            <family val="2"/>
          </rPr>
          <t>Sheena Gossett:</t>
        </r>
        <r>
          <rPr>
            <sz val="9"/>
            <color indexed="81"/>
            <rFont val="Tahoma"/>
            <family val="2"/>
          </rPr>
          <t xml:space="preserve">
New work table and new flag stands were requested ($200 &amp; $130 respectively)
</t>
        </r>
      </text>
    </comment>
    <comment ref="AA313" authorId="0" shapeId="0" xr:uid="{21DF67FE-56FD-464F-A7E4-2622CDDBFEE2}">
      <text>
        <r>
          <rPr>
            <b/>
            <sz val="9"/>
            <color indexed="81"/>
            <rFont val="Tahoma"/>
            <family val="2"/>
          </rPr>
          <t>Sheena Gossett:</t>
        </r>
        <r>
          <rPr>
            <sz val="9"/>
            <color indexed="81"/>
            <rFont val="Tahoma"/>
            <family val="2"/>
          </rPr>
          <t xml:space="preserve">
Would include alterations to clerk office</t>
        </r>
      </text>
    </comment>
    <comment ref="Y319" authorId="1" shapeId="0" xr:uid="{03D14CB9-D615-4C9F-B381-99C26FF95CD8}">
      <text>
        <r>
          <rPr>
            <b/>
            <sz val="9"/>
            <color indexed="81"/>
            <rFont val="Tahoma"/>
            <family val="2"/>
          </rPr>
          <t>Scott Koenig:</t>
        </r>
        <r>
          <rPr>
            <sz val="9"/>
            <color indexed="81"/>
            <rFont val="Tahoma"/>
            <family val="2"/>
          </rPr>
          <t xml:space="preserve">
4.62% increase includes Todd's wage recommendation and bay beach lifeguard hours.</t>
        </r>
      </text>
    </comment>
    <comment ref="AA319" authorId="0" shapeId="0" xr:uid="{C4C2FD74-4AF2-4134-8F16-401017871E72}">
      <text>
        <r>
          <rPr>
            <b/>
            <sz val="9"/>
            <color indexed="81"/>
            <rFont val="Tahoma"/>
            <family val="2"/>
          </rPr>
          <t>Sheena Gossett:</t>
        </r>
        <r>
          <rPr>
            <sz val="9"/>
            <color indexed="81"/>
            <rFont val="Tahoma"/>
            <family val="2"/>
          </rPr>
          <t xml:space="preserve">
21,404.50 regular hours
425.25 OT hours
$14.50 average rate
Todd - 17,200</t>
        </r>
      </text>
    </comment>
    <comment ref="AA320" authorId="0" shapeId="0" xr:uid="{021ED86B-130D-41A4-B5BA-9D58511A9C12}">
      <text>
        <r>
          <rPr>
            <b/>
            <sz val="9"/>
            <color indexed="81"/>
            <rFont val="Tahoma"/>
            <family val="2"/>
          </rPr>
          <t>Sheena Gossett:</t>
        </r>
        <r>
          <rPr>
            <sz val="9"/>
            <color indexed="81"/>
            <rFont val="Tahoma"/>
            <family val="2"/>
          </rPr>
          <t xml:space="preserve">
this is at 9% due to the unemployment threashhold that seasonals don't hit.  </t>
        </r>
      </text>
    </comment>
    <comment ref="AA322" authorId="0" shapeId="0" xr:uid="{4258E3B9-25D1-4DDC-B8BD-EE2E6A9753DD}">
      <text>
        <r>
          <rPr>
            <b/>
            <sz val="9"/>
            <color indexed="81"/>
            <rFont val="Tahoma"/>
            <family val="2"/>
          </rPr>
          <t>Sheena Gossett:</t>
        </r>
        <r>
          <rPr>
            <sz val="9"/>
            <color indexed="81"/>
            <rFont val="Tahoma"/>
            <family val="2"/>
          </rPr>
          <t xml:space="preserve">
per captain
upped to 6500 02.24.21</t>
        </r>
      </text>
    </comment>
    <comment ref="Y323" authorId="1" shapeId="0" xr:uid="{01597368-6BB5-467F-8E63-DBA5D46EB94B}">
      <text>
        <r>
          <rPr>
            <b/>
            <sz val="9"/>
            <color indexed="81"/>
            <rFont val="Tahoma"/>
            <family val="2"/>
          </rPr>
          <t>Scott Koenig:</t>
        </r>
        <r>
          <rPr>
            <sz val="9"/>
            <color indexed="81"/>
            <rFont val="Tahoma"/>
            <family val="2"/>
          </rPr>
          <t xml:space="preserve">
$6.24 per $100.</t>
        </r>
      </text>
    </comment>
    <comment ref="Y326" authorId="2" shapeId="0" xr:uid="{9339807C-091E-422A-9C71-34A6CE8DDC19}">
      <text>
        <r>
          <rPr>
            <b/>
            <sz val="9"/>
            <color indexed="81"/>
            <rFont val="Tahoma"/>
            <family val="2"/>
          </rPr>
          <t>skoenig:</t>
        </r>
        <r>
          <rPr>
            <sz val="9"/>
            <color indexed="81"/>
            <rFont val="Tahoma"/>
            <family val="2"/>
          </rPr>
          <t xml:space="preserve">
W/S: $1,300; Electric: $3,000; Internet (office): $1,600.  Internet (front of building) $1,500.  Telephone - $200.</t>
        </r>
      </text>
    </comment>
    <comment ref="AA326" authorId="0" shapeId="0" xr:uid="{ED20FD45-554A-4B6A-885C-410D17BE823E}">
      <text>
        <r>
          <rPr>
            <b/>
            <sz val="9"/>
            <color indexed="81"/>
            <rFont val="Tahoma"/>
            <family val="2"/>
          </rPr>
          <t>Sheena Gossett:</t>
        </r>
        <r>
          <rPr>
            <sz val="9"/>
            <color indexed="81"/>
            <rFont val="Tahoma"/>
            <family val="2"/>
          </rPr>
          <t xml:space="preserve">
Comcast - 4,231.80 - increased bandwidth, increased cost
Comcast - office - $2264.64
Delmarva Power - 1,869.91
Sussex County Water - 1,326.96</t>
        </r>
      </text>
    </comment>
    <comment ref="AA327" authorId="0" shapeId="0" xr:uid="{F7865A8D-47BA-46FD-A86A-0F25290CA74A}">
      <text>
        <r>
          <rPr>
            <b/>
            <sz val="9"/>
            <color indexed="81"/>
            <rFont val="Tahoma"/>
            <family val="2"/>
          </rPr>
          <t xml:space="preserve">Sheena Gossett:
</t>
        </r>
        <r>
          <rPr>
            <sz val="9"/>
            <color indexed="81"/>
            <rFont val="Tahoma"/>
            <family val="2"/>
          </rPr>
          <t>$50 per week during season</t>
        </r>
      </text>
    </comment>
    <comment ref="Y337" authorId="2" shapeId="0" xr:uid="{4BAFD21C-9A4E-47FD-A314-69E0BA1F186D}">
      <text>
        <r>
          <rPr>
            <b/>
            <sz val="9"/>
            <color indexed="81"/>
            <rFont val="Tahoma"/>
            <family val="2"/>
          </rPr>
          <t>skoenig:</t>
        </r>
        <r>
          <rPr>
            <sz val="9"/>
            <color indexed="81"/>
            <rFont val="Tahoma"/>
            <family val="2"/>
          </rPr>
          <t xml:space="preserve">
Flood Insurance: $986 (2/01/2020 - 2/01/2021)
</t>
        </r>
      </text>
    </comment>
    <comment ref="AA339" authorId="0" shapeId="0" xr:uid="{4AF4B22A-A662-49B8-823A-C635844229DF}">
      <text>
        <r>
          <rPr>
            <b/>
            <sz val="9"/>
            <color indexed="81"/>
            <rFont val="Tahoma"/>
            <family val="2"/>
          </rPr>
          <t>Sheena Gossett:</t>
        </r>
        <r>
          <rPr>
            <sz val="9"/>
            <color indexed="81"/>
            <rFont val="Tahoma"/>
            <family val="2"/>
          </rPr>
          <t xml:space="preserve">
EMT training &amp; USLA Certifications
Estimated high return rate - TF</t>
        </r>
      </text>
    </comment>
    <comment ref="Y340" authorId="1" shapeId="0" xr:uid="{DE1327A8-DC01-43D7-B723-FB3F19F37F98}">
      <text>
        <r>
          <rPr>
            <b/>
            <sz val="9"/>
            <color indexed="81"/>
            <rFont val="Tahoma"/>
            <family val="2"/>
          </rPr>
          <t>Scott Koenig:</t>
        </r>
        <r>
          <rPr>
            <sz val="9"/>
            <color indexed="81"/>
            <rFont val="Tahoma"/>
            <family val="2"/>
          </rPr>
          <t xml:space="preserve">
Dues &amp; Publicaitons: $425.00; Profess. Fees: $480; Office: $500; Misc.: $100; First Aid Supplies &amp; equip; $600; Postage $150.  Misc. Rain Gear - $500.</t>
        </r>
      </text>
    </comment>
    <comment ref="Y343" authorId="1" shapeId="0" xr:uid="{5170A1EF-29B3-4889-A217-49DFD3CEE6EF}">
      <text>
        <r>
          <rPr>
            <b/>
            <sz val="9"/>
            <color indexed="81"/>
            <rFont val="Tahoma"/>
            <family val="2"/>
          </rPr>
          <t>Scott Koenig:</t>
        </r>
        <r>
          <rPr>
            <sz val="9"/>
            <color indexed="81"/>
            <rFont val="Tahoma"/>
            <family val="2"/>
          </rPr>
          <t xml:space="preserve">
Expenses equal = donations for Beach Patrol, Junior Lifeguards &amp; Beach Patrol 
Competition - $10,000</t>
        </r>
      </text>
    </comment>
    <comment ref="AA343" authorId="0" shapeId="0" xr:uid="{C1E73B4C-B087-4885-9363-044EAC4CEAAC}">
      <text>
        <r>
          <rPr>
            <b/>
            <sz val="9"/>
            <color indexed="81"/>
            <rFont val="Tahoma"/>
            <family val="2"/>
          </rPr>
          <t>Sheena Gossett:</t>
        </r>
        <r>
          <rPr>
            <sz val="9"/>
            <color indexed="81"/>
            <rFont val="Tahoma"/>
            <family val="2"/>
          </rPr>
          <t xml:space="preserve">
Expenses equal = donations for Beach Patrol, Junior Lifeguards &amp; Beach Patrol 
Competition - $10,000</t>
        </r>
      </text>
    </comment>
    <comment ref="AA344" authorId="0" shapeId="0" xr:uid="{C951E8B3-5970-410D-A7B3-0D3029D121CD}">
      <text>
        <r>
          <rPr>
            <b/>
            <sz val="9"/>
            <color indexed="81"/>
            <rFont val="Tahoma"/>
            <family val="2"/>
          </rPr>
          <t>Sheena Gossett:</t>
        </r>
        <r>
          <rPr>
            <sz val="9"/>
            <color indexed="81"/>
            <rFont val="Tahoma"/>
            <family val="2"/>
          </rPr>
          <t xml:space="preserve">
The last 4 years this has been higher than the $2300 Captain requested
</t>
        </r>
      </text>
    </comment>
  </commentList>
</comments>
</file>

<file path=xl/sharedStrings.xml><?xml version="1.0" encoding="utf-8"?>
<sst xmlns="http://schemas.openxmlformats.org/spreadsheetml/2006/main" count="362" uniqueCount="357">
  <si>
    <t>.</t>
  </si>
  <si>
    <t>Actuals</t>
  </si>
  <si>
    <t>Historic Average</t>
  </si>
  <si>
    <t>FY21 Actual  vs Average</t>
  </si>
  <si>
    <t>FY 21 Actual vs High</t>
  </si>
  <si>
    <t>FY21 Actual  vs Low</t>
  </si>
  <si>
    <t>FY21 Budget  vs Average</t>
  </si>
  <si>
    <t>FY 21 Budget vs High</t>
  </si>
  <si>
    <t>FY21 Budget  vs Low</t>
  </si>
  <si>
    <t>Apr '14 - Mar 15</t>
  </si>
  <si>
    <t>Apr '15 - Mar 16</t>
  </si>
  <si>
    <t>Apr '16 - Mar 17</t>
  </si>
  <si>
    <t>Apr '17 - Mar 18</t>
  </si>
  <si>
    <t>Apr '18 - Mar 19</t>
  </si>
  <si>
    <t>Apr '19 - Mar 20</t>
  </si>
  <si>
    <t>FY21 YTD</t>
  </si>
  <si>
    <t>FY 21 Budget</t>
  </si>
  <si>
    <t>FY 22 Budget</t>
  </si>
  <si>
    <t>High</t>
  </si>
  <si>
    <t>Low</t>
  </si>
  <si>
    <t>Ordinary Income/Expense</t>
  </si>
  <si>
    <t>Income</t>
  </si>
  <si>
    <t>4000000 · Regular Income</t>
  </si>
  <si>
    <t>400000A · Annual</t>
  </si>
  <si>
    <t>4000100 · Transfer Tax</t>
  </si>
  <si>
    <t>4000150 · Transfer Tax Recoup</t>
  </si>
  <si>
    <t>4000200 · Accommodations Tax</t>
  </si>
  <si>
    <t>4000300 · Cable TV Franchise</t>
  </si>
  <si>
    <t>4000400 · Beach Concession Contract</t>
  </si>
  <si>
    <t>Total 400000A · Annual</t>
  </si>
  <si>
    <t>Total 4000000 · Regular Income</t>
  </si>
  <si>
    <t>4010000 · Permits</t>
  </si>
  <si>
    <t>401000A · Licenses</t>
  </si>
  <si>
    <t>4010050 · Business License Fines</t>
  </si>
  <si>
    <t>4010100 · Rental License</t>
  </si>
  <si>
    <t>4010200 · Commercial Rental License</t>
  </si>
  <si>
    <t>4010300 · Commerical Business</t>
  </si>
  <si>
    <t>4010400 · Real Estate Agents</t>
  </si>
  <si>
    <t>Total 401000A · Licenses</t>
  </si>
  <si>
    <t>401000B · Parking</t>
  </si>
  <si>
    <t>4010500 · Seasonal</t>
  </si>
  <si>
    <t>4010600 · Daily</t>
  </si>
  <si>
    <t>4010700 · Parking Meters</t>
  </si>
  <si>
    <t>Total 401000B · Parking</t>
  </si>
  <si>
    <t>401000C · Other</t>
  </si>
  <si>
    <t>4010800 · Building</t>
  </si>
  <si>
    <t>4010900 · Beach Fire</t>
  </si>
  <si>
    <t>4011100 · Dog Licenses</t>
  </si>
  <si>
    <t>Total 401000C · Other</t>
  </si>
  <si>
    <t>Total 4010000 · Permits</t>
  </si>
  <si>
    <t>4020000 · Fines</t>
  </si>
  <si>
    <t>402000A · Parking</t>
  </si>
  <si>
    <t>4020100 · Parking Tickets</t>
  </si>
  <si>
    <t>4020150 · Delinquent Parking Tickets</t>
  </si>
  <si>
    <t>4020200 · Vehicle Booting Fee</t>
  </si>
  <si>
    <t>Total 402000A · Parking</t>
  </si>
  <si>
    <t>402000B · Town</t>
  </si>
  <si>
    <t>4020300 · Ordinance Fines &amp; Court Costs</t>
  </si>
  <si>
    <t>4020400 · Traffic Fines</t>
  </si>
  <si>
    <t>4020500 · Capias / Contempt Charges</t>
  </si>
  <si>
    <t>4020600 · Delinquent Civil Summons</t>
  </si>
  <si>
    <t>4020700 · Traffic Fines - Other Courts</t>
  </si>
  <si>
    <t>4020800 · Ordinance Fines - Other Courts</t>
  </si>
  <si>
    <t>Total 402000B · Town</t>
  </si>
  <si>
    <t>Total 4020000 · Fines</t>
  </si>
  <si>
    <t>4040000 · Misc / Other</t>
  </si>
  <si>
    <t>4040100 · Public Hearing Fees</t>
  </si>
  <si>
    <t>4040200 · Gain / Loss Sale of Equipment</t>
  </si>
  <si>
    <t>4040300 · Interest Income</t>
  </si>
  <si>
    <t>4040400 · Copies</t>
  </si>
  <si>
    <t>4040500 · Donations</t>
  </si>
  <si>
    <t>4040550 · Marketing Donations</t>
  </si>
  <si>
    <t>4040600 · Police Reports</t>
  </si>
  <si>
    <t>4040700 · Police Extra Duty (Paid to the Town)</t>
  </si>
  <si>
    <t>4040800 · Pension State Funding</t>
  </si>
  <si>
    <t>4040900 · Misc</t>
  </si>
  <si>
    <t>4041000 · Town Hall Other</t>
  </si>
  <si>
    <t>Total 4040000 · Misc / Other</t>
  </si>
  <si>
    <t>4050000 · Investments</t>
  </si>
  <si>
    <t>4050100 · Investment Income</t>
  </si>
  <si>
    <t>4050200 · Unrealized Gain / Loss</t>
  </si>
  <si>
    <t>Total 4050000 · Investments</t>
  </si>
  <si>
    <t>4060000 · Grants</t>
  </si>
  <si>
    <t>4060200 · SALLE</t>
  </si>
  <si>
    <t>4060300 · Municipal Street Aid</t>
  </si>
  <si>
    <t>4060500 · Community Transportation Funds</t>
  </si>
  <si>
    <t>Total 4060000 · Grants</t>
  </si>
  <si>
    <t>4070000 · Restricted Income</t>
  </si>
  <si>
    <t>4070100 · Beach Patrol (Donations) - General</t>
  </si>
  <si>
    <t>4070200 · Beach Patrol (Donations) - Junior Lifeguard Program</t>
  </si>
  <si>
    <t>4070300 · Beach Patrol (Donations) - Competition</t>
  </si>
  <si>
    <t>4070400 · Police Department</t>
  </si>
  <si>
    <t>4070500 · DBE Review Fund</t>
  </si>
  <si>
    <t>4070100 · Beach Patrol (Donations)</t>
  </si>
  <si>
    <t>Total 4070000 · Restricted Income</t>
  </si>
  <si>
    <t>4080000 · Dewey Beach Enterprises (DBE)</t>
  </si>
  <si>
    <t>4080100 · Monthly Toward $300k (Ends July 2021)</t>
  </si>
  <si>
    <t>4080200 · Annual in Perpetuity</t>
  </si>
  <si>
    <t>4080300 · DBE Building Permits</t>
  </si>
  <si>
    <t>Total 4080000 · Dewey Beach Enterprises (DBE)</t>
  </si>
  <si>
    <t>Total Income</t>
  </si>
  <si>
    <t>Gross Profit</t>
  </si>
  <si>
    <t>Expenses</t>
  </si>
  <si>
    <t>6010000 · Town Expenses</t>
  </si>
  <si>
    <t>601000A · Administrative</t>
  </si>
  <si>
    <t>6010100 · Bank &amp; Credit Card Fees</t>
  </si>
  <si>
    <t>6010125 · Bank Fees - Transfer Tax</t>
  </si>
  <si>
    <t>6010150 · Collection Agency Fees</t>
  </si>
  <si>
    <t>6010175 · Investment Fees</t>
  </si>
  <si>
    <t>6010200 · Commissioner &amp; Committee Exp</t>
  </si>
  <si>
    <t>6010250 · Election Expenses</t>
  </si>
  <si>
    <t>6010300 · Donations</t>
  </si>
  <si>
    <t>6010400 · Code Update</t>
  </si>
  <si>
    <t>6010500 · Legal Fees - Regular</t>
  </si>
  <si>
    <t>6010550 · Legal Fees - Lawsuit</t>
  </si>
  <si>
    <t>6010600 · Audit Fees</t>
  </si>
  <si>
    <t>6010700 · Comp Plan / Planning Fees</t>
  </si>
  <si>
    <t>6010800 · Beach &amp; Marketing Events</t>
  </si>
  <si>
    <t>6010900 · IT</t>
  </si>
  <si>
    <t>6011000 · Equipment / Asset Purchase</t>
  </si>
  <si>
    <t>6011100 · Employee Bonuses</t>
  </si>
  <si>
    <t>6011200 · Dues / Publications</t>
  </si>
  <si>
    <t>6011300 · Legal Ads</t>
  </si>
  <si>
    <t>6011400 · Extraordinary DBE Expense</t>
  </si>
  <si>
    <t>6011XXX - Transfer to Restricted Funds (20% Building Permit Fees)</t>
  </si>
  <si>
    <t>6011XXX - Transfer to Self-Committed Funds (3% TT to Streets - Formerly Comp)</t>
  </si>
  <si>
    <t>6011XXX - Transfer to Self-Committed Funds (5% TT to TT Recoup)</t>
  </si>
  <si>
    <t>6011XXX - Transfer to Self-Committed Funds (5% Daily Seasonal Permits to Streets - Formerly Signage)</t>
  </si>
  <si>
    <t>601000A · Administrative - Other</t>
  </si>
  <si>
    <t>Total 601000A · Administrative</t>
  </si>
  <si>
    <t>601000B · Operating</t>
  </si>
  <si>
    <t>6012000 · Bayard Avenue Operating</t>
  </si>
  <si>
    <t xml:space="preserve">6012050 · Bayard Avenue Loan </t>
  </si>
  <si>
    <t>6012051 · Bayard Avenue Loan  Interest</t>
  </si>
  <si>
    <t>6012100 · Beautification</t>
  </si>
  <si>
    <t>6012200 · Trash</t>
  </si>
  <si>
    <t>6012300 · Street Signs / Lights (MSA)</t>
  </si>
  <si>
    <t>6012400 · Parking Meter / Permit Expenses</t>
  </si>
  <si>
    <t>6012500 · Street Sweeping / Snow Removal</t>
  </si>
  <si>
    <t>6012600 · Municipal Street Aid Expenditures (Other)</t>
  </si>
  <si>
    <t>6012700 · Town Hall Property Expenses</t>
  </si>
  <si>
    <t>6012800 · Storm Water / Street Flooding</t>
  </si>
  <si>
    <t>Total 601000B · Operating</t>
  </si>
  <si>
    <t>Total 6010000 · Town Expenses</t>
  </si>
  <si>
    <t>6020000 · Administration</t>
  </si>
  <si>
    <t>602000A · Employee Expenses</t>
  </si>
  <si>
    <t>6020100 · Salary &amp; Wages</t>
  </si>
  <si>
    <t>6020110 · Payroll Taxes</t>
  </si>
  <si>
    <t>6020130 · Employee Benefits</t>
  </si>
  <si>
    <t>6020140 · Pension Plan</t>
  </si>
  <si>
    <t>6020160 · Workers Comp Insurance</t>
  </si>
  <si>
    <t>Total 602000A · Employee Expenses</t>
  </si>
  <si>
    <t>602000B · Seasonal Employee Expenses</t>
  </si>
  <si>
    <t>6020300 · Salary &amp; Wages</t>
  </si>
  <si>
    <t>6020310 · Payroll Taxes</t>
  </si>
  <si>
    <t xml:space="preserve"> </t>
  </si>
  <si>
    <t>Total 602000B · Seasonal Employee Expenses</t>
  </si>
  <si>
    <t>602000C · Building Expenses</t>
  </si>
  <si>
    <t>6020500 · Utilities</t>
  </si>
  <si>
    <t>6020510 · Cleaning</t>
  </si>
  <si>
    <t>6020520 · Pest Control</t>
  </si>
  <si>
    <t>6020530 · Building Maintenance</t>
  </si>
  <si>
    <t>Total 602000C · Building Expenses</t>
  </si>
  <si>
    <t>602000D · Vehicles</t>
  </si>
  <si>
    <t>6020605 · Mileage Reimbursement</t>
  </si>
  <si>
    <t>Total 602000D · Vehicles</t>
  </si>
  <si>
    <t>602000E · Operating</t>
  </si>
  <si>
    <t>6021000 · Postage</t>
  </si>
  <si>
    <t>6021100 · Professional Fees</t>
  </si>
  <si>
    <t>6021200 · Insurance</t>
  </si>
  <si>
    <t>6021300 · Dues &amp; Publications</t>
  </si>
  <si>
    <t>6021400 · Training</t>
  </si>
  <si>
    <t>6021500 · Supplies</t>
  </si>
  <si>
    <t>6021600 · Printing</t>
  </si>
  <si>
    <t>6021700 · Misc</t>
  </si>
  <si>
    <t>Total 602000E · Operating</t>
  </si>
  <si>
    <t>Total 6020000 · Administration</t>
  </si>
  <si>
    <t>6030000 · Police</t>
  </si>
  <si>
    <t>603000A · Employee Expenses</t>
  </si>
  <si>
    <t>6030100 · Salary &amp; Wages</t>
  </si>
  <si>
    <t>6030105 · Special Event Payroll (Paid to other jurisdictions)</t>
  </si>
  <si>
    <t>6030110 · Payroll Taxes</t>
  </si>
  <si>
    <t>6030130 · Employee Benefits</t>
  </si>
  <si>
    <t>6030140 · Pension Plan</t>
  </si>
  <si>
    <t>6030150 · Uniforms</t>
  </si>
  <si>
    <t>6030160 · Workers Comp Insurance</t>
  </si>
  <si>
    <t>Total 603000A · Employee Expenses</t>
  </si>
  <si>
    <t>603000B · Admin Employee Expenses</t>
  </si>
  <si>
    <t>6030200 · Salary &amp; Wages (Includes FT &amp; PT Year Round Dispatchers)</t>
  </si>
  <si>
    <t>6030210 · Payroll Taxes</t>
  </si>
  <si>
    <t>6030230 · Employee Benefits</t>
  </si>
  <si>
    <t>6030240 · Pension Plan</t>
  </si>
  <si>
    <t>6030260 · Workers Comp Insurance</t>
  </si>
  <si>
    <t>Total 603000B · Admin Employee Expenses</t>
  </si>
  <si>
    <t xml:space="preserve">6030300 · Salary &amp; Wages </t>
  </si>
  <si>
    <t>6030310 · Payroll Taxes</t>
  </si>
  <si>
    <t>6030350 · Uniforms</t>
  </si>
  <si>
    <t>6030360 · Workers Comp Insurance</t>
  </si>
  <si>
    <t>Total 603000C · Seasonal Employee Expenses</t>
  </si>
  <si>
    <t>603000D · Building Expenses</t>
  </si>
  <si>
    <t>6030500 · Utilities</t>
  </si>
  <si>
    <t>6030510 · Cleaning</t>
  </si>
  <si>
    <t>6030520 · Pest Control</t>
  </si>
  <si>
    <t>6030530 · Building Maintenance</t>
  </si>
  <si>
    <t>Total 603000D · Building Expenses</t>
  </si>
  <si>
    <t>603000E · Vehicles</t>
  </si>
  <si>
    <t>6030600 · Gas</t>
  </si>
  <si>
    <t>6030605 · Mileage Reimbursement</t>
  </si>
  <si>
    <t>6030610 · Auto Maintenance &amp; Repairs</t>
  </si>
  <si>
    <t>Total 603000E · Vehicles</t>
  </si>
  <si>
    <t>603000F · Operating</t>
  </si>
  <si>
    <t>6031000 · Postage</t>
  </si>
  <si>
    <t>6031100 · Professional Fees</t>
  </si>
  <si>
    <t>6031150 · Legal Ads</t>
  </si>
  <si>
    <t>6031200 · Insurance</t>
  </si>
  <si>
    <t>6031300 · Dues &amp; Publications</t>
  </si>
  <si>
    <t>6031400 · Training</t>
  </si>
  <si>
    <t>6031500 · Supplies</t>
  </si>
  <si>
    <t>6031700 · Misc</t>
  </si>
  <si>
    <t>6031800 · Equipment Maintenance</t>
  </si>
  <si>
    <t>6031900 · Drug Testing</t>
  </si>
  <si>
    <t>Total 603000F · Operating</t>
  </si>
  <si>
    <t>Total 6030000 · Police</t>
  </si>
  <si>
    <t>6040000 · Maintenance</t>
  </si>
  <si>
    <t>604000A · Employee Expenses</t>
  </si>
  <si>
    <t>6040100 · Salary &amp; Wages</t>
  </si>
  <si>
    <t>6040110 · Payroll Taxes</t>
  </si>
  <si>
    <t>6040130 · Employee Benefits</t>
  </si>
  <si>
    <t>6040140 · Pension Plan</t>
  </si>
  <si>
    <t>6040150 · Uniforms</t>
  </si>
  <si>
    <t>6040160 · Workers Comp Insurance</t>
  </si>
  <si>
    <t>Total 604000A · Employee Expenses</t>
  </si>
  <si>
    <t>604000B · Building Expenses</t>
  </si>
  <si>
    <t>6040500 · Utilities</t>
  </si>
  <si>
    <t>6040530 · Building Maintenance</t>
  </si>
  <si>
    <t>Total 604000B · Building Expenses</t>
  </si>
  <si>
    <t>604000C · Vehicles</t>
  </si>
  <si>
    <t>6040600 · Gas</t>
  </si>
  <si>
    <t>6040610 · Auto Maintenance &amp; Repairs</t>
  </si>
  <si>
    <t>Total 604000C · Vehicles</t>
  </si>
  <si>
    <t>604000D · Operating</t>
  </si>
  <si>
    <t>6041200 · Insurance</t>
  </si>
  <si>
    <t>6041500 · Supplies</t>
  </si>
  <si>
    <t>6041700 · Misc</t>
  </si>
  <si>
    <t>6041800 · Equipment Maintenance</t>
  </si>
  <si>
    <t>Total 604000D · Operating</t>
  </si>
  <si>
    <t>Total 6040000 · Maintenance</t>
  </si>
  <si>
    <t>6050000 · Code Enforcement</t>
  </si>
  <si>
    <t>605000A · Employee Expenses</t>
  </si>
  <si>
    <t>6050100 · Salary &amp; Wages</t>
  </si>
  <si>
    <t>6050110 · Payroll Taxes</t>
  </si>
  <si>
    <t>6050130 · Employee Benefits</t>
  </si>
  <si>
    <t>6050140 · Pension Plan</t>
  </si>
  <si>
    <t>6050150 · Uniforms</t>
  </si>
  <si>
    <t>6050160 · Workers Comp Insurance</t>
  </si>
  <si>
    <t>Total 605000A · Employee Expenses</t>
  </si>
  <si>
    <t>6050300 · Salary &amp; Wages</t>
  </si>
  <si>
    <t>6050310 · Payroll Taxes</t>
  </si>
  <si>
    <t>6050350 · Uniforms</t>
  </si>
  <si>
    <t>6050360 · Workers Comp Insurance</t>
  </si>
  <si>
    <t>Total 605000B · Seasonal Employee Expenses</t>
  </si>
  <si>
    <t>605000C · Building Expenses</t>
  </si>
  <si>
    <t>6050500 · Utilities</t>
  </si>
  <si>
    <t>6050510 · Cleaning</t>
  </si>
  <si>
    <t>6050520 · Pest Control</t>
  </si>
  <si>
    <t>6050530 · Building Maintenance</t>
  </si>
  <si>
    <t>Total 605000C · Building Expenses</t>
  </si>
  <si>
    <t>605000D · Vehicles</t>
  </si>
  <si>
    <t>6050600 · Gas</t>
  </si>
  <si>
    <t>6050605 · Mileage Reimbursement</t>
  </si>
  <si>
    <t>6050610 · Auto Maintenance &amp; Repair</t>
  </si>
  <si>
    <t>Total 605000D · Vehicles</t>
  </si>
  <si>
    <t>605000E · Operating</t>
  </si>
  <si>
    <t>6051000 · Postage</t>
  </si>
  <si>
    <t>6051100 · Professional Fees</t>
  </si>
  <si>
    <t>6051200 · Insurance</t>
  </si>
  <si>
    <t>6051300 · Dues &amp; Publications</t>
  </si>
  <si>
    <t>6051400 · Training</t>
  </si>
  <si>
    <t>6051500 · Supplies</t>
  </si>
  <si>
    <t>6051700 · Misc</t>
  </si>
  <si>
    <t>6051900 · Equipment Maintenance</t>
  </si>
  <si>
    <t>Total 605000E · Operating</t>
  </si>
  <si>
    <t>Total 6050000 · Code Enforcement</t>
  </si>
  <si>
    <t>6060000 · Building Inspector</t>
  </si>
  <si>
    <t>606000A · Employee Expenses</t>
  </si>
  <si>
    <t>6060100 · Salary &amp; Wages</t>
  </si>
  <si>
    <t>6060110 · Payroll Taxes</t>
  </si>
  <si>
    <t>6060130 · Employee Benefits</t>
  </si>
  <si>
    <t>6060140 · Pension Plan</t>
  </si>
  <si>
    <t>6060160 · Workers Comp Insurance</t>
  </si>
  <si>
    <t>Total 606000A · Employee Expenses</t>
  </si>
  <si>
    <t>606000B · Vehicles</t>
  </si>
  <si>
    <t>6060600 · Gas</t>
  </si>
  <si>
    <t>Total 606000B · Vehicles</t>
  </si>
  <si>
    <t>606000C · Operating</t>
  </si>
  <si>
    <t>6060500 · Phone</t>
  </si>
  <si>
    <t>6061000 · Postage</t>
  </si>
  <si>
    <t>6061300 · Dues &amp; Publications</t>
  </si>
  <si>
    <t>6061400 · Training</t>
  </si>
  <si>
    <t>6061500 · Supplies</t>
  </si>
  <si>
    <t>6061700 · Misc</t>
  </si>
  <si>
    <t>Total 606000C · Operating</t>
  </si>
  <si>
    <t>Total 6060000 · Building Inspector</t>
  </si>
  <si>
    <t>6070000 · Alderman</t>
  </si>
  <si>
    <t>607000A · Employee Expenses</t>
  </si>
  <si>
    <t>6070100 · Salary &amp; Wages (Aldermen, Clerk &amp; Bailiffs)</t>
  </si>
  <si>
    <t>6070105 · Offset Bailiff Salary</t>
  </si>
  <si>
    <t>6070110 · Payroll Taxes</t>
  </si>
  <si>
    <t>6070150 · Uniforms</t>
  </si>
  <si>
    <t>6060160 · Workers Comp insurance</t>
  </si>
  <si>
    <t>Total 607000A · Employee Expenses</t>
  </si>
  <si>
    <t>607000B · Operating</t>
  </si>
  <si>
    <t>6071000 · Postage</t>
  </si>
  <si>
    <t>6071100 · Professional Fees</t>
  </si>
  <si>
    <t>6071200 · Insurance</t>
  </si>
  <si>
    <t>6071300 · Dues &amp; Publications</t>
  </si>
  <si>
    <t>6071500 · Supplies</t>
  </si>
  <si>
    <t>6071700 · Misc</t>
  </si>
  <si>
    <t>Total 607000B · Operating</t>
  </si>
  <si>
    <t>Total 6070000 · Alderman</t>
  </si>
  <si>
    <t>6080000 · Beach Patrol</t>
  </si>
  <si>
    <t>608000A · Employee Expenses</t>
  </si>
  <si>
    <t>6080100 · Salary &amp; Wages</t>
  </si>
  <si>
    <t>6080110 · Payroll Taxes</t>
  </si>
  <si>
    <t>6080130 · Employee Benefits</t>
  </si>
  <si>
    <t>6080150 · Uniforms</t>
  </si>
  <si>
    <t>Total 608000A · Employee Expenses</t>
  </si>
  <si>
    <t>608000B · Building Expenses</t>
  </si>
  <si>
    <t>6080500 · Utilities</t>
  </si>
  <si>
    <t>6080510 · Cleaning</t>
  </si>
  <si>
    <t>6080530 · Building Maintenance</t>
  </si>
  <si>
    <t>6080550 · Landhold Lease - LSS</t>
  </si>
  <si>
    <t>Total 608000B · Building Expenses</t>
  </si>
  <si>
    <t>608000C · Vehicles</t>
  </si>
  <si>
    <t>6080600 · Gas</t>
  </si>
  <si>
    <t>6080610 · Auto Maintenance &amp; Repair</t>
  </si>
  <si>
    <t>Total 608000C · Vehicles</t>
  </si>
  <si>
    <t>608000D · Operating</t>
  </si>
  <si>
    <t>6081000 · Postage</t>
  </si>
  <si>
    <t>6081200 · Insurance</t>
  </si>
  <si>
    <t>6081400 · Training</t>
  </si>
  <si>
    <t>6081500 · Supplies (Office, First Aid, &amp; Misc.)</t>
  </si>
  <si>
    <t>6081600 · Printing</t>
  </si>
  <si>
    <t>6081700 · Misc (Small Equipment)</t>
  </si>
  <si>
    <t>6081800 · Donation Purchases</t>
  </si>
  <si>
    <t>6081900 · Equipment Maintenance</t>
  </si>
  <si>
    <t>Total 608000D · Operating</t>
  </si>
  <si>
    <r>
      <t xml:space="preserve">Total 6080000 · </t>
    </r>
    <r>
      <rPr>
        <b/>
        <sz val="8"/>
        <color rgb="FF323232"/>
        <rFont val="Arial"/>
        <family val="2"/>
      </rPr>
      <t>Beach Patrol</t>
    </r>
  </si>
  <si>
    <t>Total Expense</t>
  </si>
  <si>
    <t>Net Ordinary Income</t>
  </si>
  <si>
    <t>Net Income</t>
  </si>
  <si>
    <r>
      <t xml:space="preserve">605000B · Seasonal Employee Expenses (May 1 thru September 30) </t>
    </r>
    <r>
      <rPr>
        <b/>
        <sz val="8"/>
        <color rgb="FFFF0000"/>
        <rFont val="Arial"/>
        <family val="2"/>
      </rPr>
      <t>(10 ee)</t>
    </r>
  </si>
  <si>
    <r>
      <t>603000C · Seasonal Employee Expenses</t>
    </r>
    <r>
      <rPr>
        <sz val="8"/>
        <color rgb="FFFF0000"/>
        <rFont val="Arial"/>
        <family val="2"/>
      </rPr>
      <t xml:space="preserve"> </t>
    </r>
    <r>
      <rPr>
        <b/>
        <sz val="8"/>
        <color rgb="FFFF0000"/>
        <rFont val="Arial"/>
        <family val="2"/>
      </rPr>
      <t>(20 Officers &amp; 2 Dispatchers)</t>
    </r>
  </si>
  <si>
    <t>6081300 · Dues &amp; Publications</t>
  </si>
  <si>
    <t>4000250 · Hotel Tax</t>
  </si>
  <si>
    <t>4040950 · COVID Revenue</t>
  </si>
  <si>
    <t>6012150 · COVID Expenses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</si>
</sst>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_(* #,##0_);_(* \(#,##0\);_(* &quot;-&quot;??_);_(@_)"/>
    <numFmt numFmtId="165" formatCode="#,##0.00;\-#,##0.00"/>
  </numFmts>
  <fonts count="12" x14ac:knownFonts="1">
    <font>
      <sz val="11"/>
      <color theme="1"/>
      <name val="Calibri"/>
      <family val="2"/>
      <scheme val="minor"/>
    </font>
    <font>
      <sz val="11"/>
      <color theme="1"/>
      <name val="Calibri"/>
      <family val="2"/>
      <scheme val="minor"/>
    </font>
    <font>
      <sz val="8"/>
      <color rgb="FF000000"/>
      <name val="Arial"/>
      <family val="2"/>
    </font>
    <font>
      <sz val="8"/>
      <color theme="1"/>
      <name val="Arial"/>
      <family val="2"/>
    </font>
    <font>
      <sz val="8"/>
      <name val="Arial"/>
      <family val="2"/>
    </font>
    <font>
      <sz val="8"/>
      <color rgb="FF323232"/>
      <name val="Arial"/>
      <family val="2"/>
    </font>
    <font>
      <b/>
      <sz val="8"/>
      <name val="Arial"/>
      <family val="2"/>
    </font>
    <font>
      <b/>
      <sz val="8"/>
      <color rgb="FF323232"/>
      <name val="Arial"/>
      <family val="2"/>
    </font>
    <font>
      <b/>
      <sz val="8"/>
      <color rgb="FFFF0000"/>
      <name val="Arial"/>
      <family val="2"/>
    </font>
    <font>
      <sz val="8"/>
      <color rgb="FFFF0000"/>
      <name val="Arial"/>
      <family val="2"/>
    </font>
    <font>
      <b/>
      <sz val="9"/>
      <color indexed="81"/>
      <name val="Tahoma"/>
      <family val="2"/>
    </font>
    <font>
      <sz val="9"/>
      <color indexed="81"/>
      <name val="Tahoma"/>
      <family val="2"/>
    </font>
  </fonts>
  <fills count="2">
    <fill>
      <patternFill patternType="none"/>
    </fill>
    <fill>
      <patternFill patternType="gray125"/>
    </fill>
  </fills>
  <borders count="8">
    <border>
      <left/>
      <right/>
      <top/>
      <bottom/>
      <diagonal/>
    </border>
    <border>
      <left/>
      <right/>
      <top/>
      <bottom style="thick">
        <color indexed="64"/>
      </bottom>
      <diagonal/>
    </border>
    <border>
      <left/>
      <right/>
      <top style="thick">
        <color indexed="64"/>
      </top>
      <bottom style="medium">
        <color indexed="64"/>
      </bottom>
      <diagonal/>
    </border>
    <border>
      <left/>
      <right/>
      <top style="thick">
        <color indexed="64"/>
      </top>
      <bottom style="thick">
        <color indexed="64"/>
      </bottom>
      <diagonal/>
    </border>
    <border>
      <left/>
      <right/>
      <top style="medium">
        <color indexed="64"/>
      </top>
      <bottom style="medium">
        <color indexed="64"/>
      </bottom>
      <diagonal/>
    </border>
    <border>
      <left/>
      <right/>
      <top/>
      <bottom style="medium">
        <color indexed="64"/>
      </bottom>
      <diagonal/>
    </border>
    <border>
      <left/>
      <right/>
      <top style="medium">
        <color indexed="64"/>
      </top>
      <bottom/>
      <diagonal/>
    </border>
    <border>
      <left/>
      <right/>
      <top style="medium">
        <color indexed="64"/>
      </top>
      <bottom style="double">
        <color indexed="64"/>
      </bottom>
      <diagonal/>
    </border>
  </borders>
  <cellStyleXfs count="2">
    <xf numFmtId="0" fontId="0" fillId="0" borderId="0"/>
    <xf numFmtId="43" fontId="1" fillId="0" borderId="0" applyFont="0" applyFill="0" applyBorder="0" applyAlignment="0" applyProtection="0"/>
  </cellStyleXfs>
  <cellXfs count="51">
    <xf numFmtId="0" fontId="0" fillId="0" borderId="0" xfId="0"/>
    <xf numFmtId="164" fontId="3" fillId="0" borderId="0" xfId="1" applyNumberFormat="1" applyFont="1" applyFill="1"/>
    <xf numFmtId="164" fontId="3" fillId="0" borderId="0" xfId="1" applyNumberFormat="1" applyFont="1" applyFill="1" applyBorder="1" applyAlignment="1">
      <alignment horizontal="center"/>
    </xf>
    <xf numFmtId="164" fontId="3" fillId="0" borderId="2" xfId="1" applyNumberFormat="1" applyFont="1" applyFill="1" applyBorder="1" applyAlignment="1">
      <alignment horizontal="center"/>
    </xf>
    <xf numFmtId="164" fontId="2" fillId="0" borderId="2" xfId="1" applyNumberFormat="1" applyFont="1" applyFill="1" applyBorder="1" applyAlignment="1">
      <alignment horizontal="center"/>
    </xf>
    <xf numFmtId="164" fontId="4" fillId="0" borderId="2" xfId="1" applyNumberFormat="1" applyFont="1" applyFill="1" applyBorder="1" applyAlignment="1">
      <alignment horizontal="center"/>
    </xf>
    <xf numFmtId="164" fontId="4" fillId="0" borderId="0" xfId="1" applyNumberFormat="1" applyFont="1" applyFill="1" applyBorder="1" applyAlignment="1">
      <alignment horizontal="center"/>
    </xf>
    <xf numFmtId="164" fontId="4" fillId="0" borderId="3" xfId="1" applyNumberFormat="1" applyFont="1" applyFill="1" applyBorder="1" applyAlignment="1">
      <alignment horizontal="center"/>
    </xf>
    <xf numFmtId="164" fontId="5" fillId="0" borderId="0" xfId="1" applyNumberFormat="1" applyFont="1"/>
    <xf numFmtId="164" fontId="4" fillId="0" borderId="0" xfId="1" applyNumberFormat="1" applyFont="1" applyFill="1"/>
    <xf numFmtId="164" fontId="5" fillId="0" borderId="0" xfId="1" applyNumberFormat="1" applyFont="1" applyBorder="1"/>
    <xf numFmtId="164" fontId="4" fillId="0" borderId="0" xfId="1" applyNumberFormat="1" applyFont="1" applyFill="1" applyBorder="1"/>
    <xf numFmtId="164" fontId="4" fillId="0" borderId="4" xfId="1" applyNumberFormat="1" applyFont="1" applyFill="1" applyBorder="1"/>
    <xf numFmtId="164" fontId="5" fillId="0" borderId="5" xfId="1" applyNumberFormat="1" applyFont="1" applyBorder="1"/>
    <xf numFmtId="164" fontId="4" fillId="0" borderId="5" xfId="1" applyNumberFormat="1" applyFont="1" applyFill="1" applyBorder="1"/>
    <xf numFmtId="164" fontId="4" fillId="0" borderId="6" xfId="1" applyNumberFormat="1" applyFont="1" applyFill="1" applyBorder="1"/>
    <xf numFmtId="164" fontId="3" fillId="0" borderId="0" xfId="1" applyNumberFormat="1" applyFont="1" applyFill="1" applyBorder="1"/>
    <xf numFmtId="164" fontId="3" fillId="0" borderId="1" xfId="1" applyNumberFormat="1" applyFont="1" applyFill="1" applyBorder="1" applyAlignment="1">
      <alignment horizontal="center"/>
    </xf>
    <xf numFmtId="49" fontId="2" fillId="0" borderId="0" xfId="0" applyNumberFormat="1" applyFont="1" applyFill="1"/>
    <xf numFmtId="0" fontId="3" fillId="0" borderId="0" xfId="0" applyFont="1" applyFill="1"/>
    <xf numFmtId="49" fontId="5" fillId="0" borderId="0" xfId="0" applyNumberFormat="1" applyFont="1" applyFill="1" applyAlignment="1">
      <alignment horizontal="center"/>
    </xf>
    <xf numFmtId="49" fontId="4" fillId="0" borderId="0" xfId="0" applyNumberFormat="1" applyFont="1" applyFill="1" applyAlignment="1">
      <alignment horizontal="center"/>
    </xf>
    <xf numFmtId="49" fontId="4" fillId="0" borderId="3" xfId="0" applyNumberFormat="1" applyFont="1" applyFill="1" applyBorder="1" applyAlignment="1">
      <alignment horizontal="center"/>
    </xf>
    <xf numFmtId="0" fontId="3" fillId="0" borderId="0" xfId="0" applyFont="1" applyFill="1" applyAlignment="1">
      <alignment horizontal="center"/>
    </xf>
    <xf numFmtId="49" fontId="6" fillId="0" borderId="3" xfId="0" applyNumberFormat="1" applyFont="1" applyFill="1" applyBorder="1" applyAlignment="1">
      <alignment horizontal="center"/>
    </xf>
    <xf numFmtId="49" fontId="5" fillId="0" borderId="1" xfId="0" applyNumberFormat="1" applyFont="1" applyFill="1" applyBorder="1" applyAlignment="1">
      <alignment horizontal="center"/>
    </xf>
    <xf numFmtId="49" fontId="5" fillId="0" borderId="0" xfId="0" applyNumberFormat="1" applyFont="1" applyFill="1"/>
    <xf numFmtId="165" fontId="5" fillId="0" borderId="0" xfId="0" applyNumberFormat="1" applyFont="1" applyFill="1"/>
    <xf numFmtId="164" fontId="5" fillId="0" borderId="0" xfId="1" applyNumberFormat="1" applyFont="1" applyFill="1"/>
    <xf numFmtId="165" fontId="4" fillId="0" borderId="0" xfId="0" applyNumberFormat="1" applyFont="1" applyFill="1"/>
    <xf numFmtId="49" fontId="4" fillId="0" borderId="0" xfId="0" applyNumberFormat="1" applyFont="1" applyFill="1"/>
    <xf numFmtId="164" fontId="5" fillId="0" borderId="0" xfId="1" applyNumberFormat="1" applyFont="1" applyFill="1" applyBorder="1"/>
    <xf numFmtId="164" fontId="5" fillId="0" borderId="4" xfId="1" applyNumberFormat="1" applyFont="1" applyFill="1" applyBorder="1"/>
    <xf numFmtId="164" fontId="5" fillId="0" borderId="5" xfId="1" applyNumberFormat="1" applyFont="1" applyFill="1" applyBorder="1"/>
    <xf numFmtId="164" fontId="5" fillId="0" borderId="6" xfId="1" applyNumberFormat="1" applyFont="1" applyFill="1" applyBorder="1"/>
    <xf numFmtId="49" fontId="7" fillId="0" borderId="0" xfId="0" applyNumberFormat="1" applyFont="1" applyFill="1"/>
    <xf numFmtId="49" fontId="8" fillId="0" borderId="0" xfId="0" applyNumberFormat="1" applyFont="1" applyFill="1"/>
    <xf numFmtId="164" fontId="7" fillId="0" borderId="4" xfId="1" applyNumberFormat="1" applyFont="1" applyFill="1" applyBorder="1"/>
    <xf numFmtId="164" fontId="7" fillId="0" borderId="0" xfId="1" applyNumberFormat="1" applyFont="1" applyFill="1"/>
    <xf numFmtId="164" fontId="6" fillId="0" borderId="0" xfId="1" applyNumberFormat="1" applyFont="1" applyFill="1"/>
    <xf numFmtId="165" fontId="5" fillId="0" borderId="4" xfId="0" applyNumberFormat="1" applyFont="1" applyFill="1" applyBorder="1"/>
    <xf numFmtId="164" fontId="3" fillId="0" borderId="5" xfId="1" applyNumberFormat="1" applyFont="1" applyFill="1" applyBorder="1"/>
    <xf numFmtId="164" fontId="6" fillId="0" borderId="5" xfId="1" applyNumberFormat="1" applyFont="1" applyFill="1" applyBorder="1"/>
    <xf numFmtId="164" fontId="5" fillId="0" borderId="7" xfId="1" applyNumberFormat="1" applyFont="1" applyFill="1" applyBorder="1"/>
    <xf numFmtId="164" fontId="4" fillId="0" borderId="7" xfId="1" applyNumberFormat="1" applyFont="1" applyFill="1" applyBorder="1"/>
    <xf numFmtId="0" fontId="5" fillId="0" borderId="0" xfId="0" applyFont="1" applyFill="1"/>
    <xf numFmtId="0" fontId="4" fillId="0" borderId="0" xfId="0" applyFont="1" applyFill="1"/>
    <xf numFmtId="3" fontId="4" fillId="0" borderId="0" xfId="0" applyNumberFormat="1" applyFont="1" applyFill="1"/>
    <xf numFmtId="164" fontId="4" fillId="0" borderId="1" xfId="1" applyNumberFormat="1" applyFont="1" applyFill="1" applyBorder="1" applyAlignment="1">
      <alignment horizontal="center"/>
    </xf>
    <xf numFmtId="164" fontId="3" fillId="0" borderId="0" xfId="1" applyNumberFormat="1" applyFont="1" applyFill="1" applyBorder="1" applyAlignment="1">
      <alignment horizontal="center" wrapText="1"/>
    </xf>
    <xf numFmtId="164" fontId="3" fillId="0" borderId="1" xfId="1" applyNumberFormat="1" applyFont="1" applyFill="1" applyBorder="1" applyAlignment="1">
      <alignment horizontal="center"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0F1791-3074-4B8C-9387-6E24A94D77D7}">
  <sheetPr codeName="Sheet5"/>
  <dimension ref="A1:AN354"/>
  <sheetViews>
    <sheetView tabSelected="1" topLeftCell="B1" zoomScale="130" zoomScaleNormal="130" workbookViewId="0">
      <pane xSplit="6" ySplit="2" topLeftCell="W321" activePane="bottomRight" state="frozen"/>
      <selection activeCell="B1" sqref="B1"/>
      <selection pane="topRight" activeCell="H1" sqref="H1"/>
      <selection pane="bottomLeft" activeCell="B3" sqref="B3"/>
      <selection pane="bottomRight" activeCell="W328" sqref="W328"/>
    </sheetView>
  </sheetViews>
  <sheetFormatPr defaultRowHeight="11.25" x14ac:dyDescent="0.2"/>
  <cols>
    <col min="1" max="6" width="3" style="45" customWidth="1"/>
    <col min="7" max="7" width="52.140625" style="45" customWidth="1"/>
    <col min="8" max="8" width="2.28515625" style="45" hidden="1" customWidth="1"/>
    <col min="9" max="9" width="14.42578125" style="45" hidden="1" customWidth="1"/>
    <col min="10" max="10" width="2.28515625" style="45" hidden="1" customWidth="1"/>
    <col min="11" max="11" width="14.42578125" style="19" hidden="1" customWidth="1"/>
    <col min="12" max="12" width="2.28515625" style="19" hidden="1" customWidth="1"/>
    <col min="13" max="13" width="14.42578125" style="19" hidden="1" customWidth="1"/>
    <col min="14" max="14" width="2.28515625" style="19" hidden="1" customWidth="1"/>
    <col min="15" max="15" width="14.42578125" style="19" hidden="1" customWidth="1"/>
    <col min="16" max="16" width="2.7109375" style="19" hidden="1" customWidth="1"/>
    <col min="17" max="17" width="14.42578125" style="1" hidden="1" customWidth="1"/>
    <col min="18" max="18" width="2.7109375" style="1" hidden="1" customWidth="1"/>
    <col min="19" max="19" width="11.140625" style="9" hidden="1" customWidth="1"/>
    <col min="20" max="21" width="2.7109375" style="46" hidden="1" customWidth="1"/>
    <col min="22" max="22" width="2.28515625" style="46" hidden="1" customWidth="1"/>
    <col min="23" max="23" width="11.140625" style="9" bestFit="1" customWidth="1"/>
    <col min="24" max="24" width="2.28515625" style="46" customWidth="1"/>
    <col min="25" max="25" width="12.140625" style="46" bestFit="1" customWidth="1"/>
    <col min="26" max="26" width="2.28515625" style="19" customWidth="1"/>
    <col min="27" max="27" width="12.140625" style="46" bestFit="1" customWidth="1"/>
    <col min="28" max="28" width="2.7109375" style="19" customWidth="1"/>
    <col min="29" max="31" width="11.140625" style="19" customWidth="1"/>
    <col min="32" max="32" width="2.7109375" style="19" customWidth="1"/>
    <col min="33" max="33" width="11.140625" style="19" customWidth="1"/>
    <col min="34" max="34" width="11.7109375" style="19" customWidth="1"/>
    <col min="35" max="35" width="11.140625" style="19" customWidth="1"/>
    <col min="36" max="36" width="2.7109375" style="19" customWidth="1"/>
    <col min="37" max="37" width="11.140625" style="19" customWidth="1"/>
    <col min="38" max="39" width="11.7109375" style="19" customWidth="1"/>
    <col min="40" max="16384" width="9.140625" style="19"/>
  </cols>
  <sheetData>
    <row r="1" spans="1:39" ht="15.75" customHeight="1" thickBot="1" x14ac:dyDescent="0.25">
      <c r="A1" s="18" t="s">
        <v>0</v>
      </c>
      <c r="B1" s="18"/>
      <c r="C1" s="18"/>
      <c r="D1" s="18"/>
      <c r="E1" s="18"/>
      <c r="F1" s="18"/>
      <c r="G1" s="18"/>
      <c r="H1" s="17" t="s">
        <v>1</v>
      </c>
      <c r="I1" s="17"/>
      <c r="J1" s="17"/>
      <c r="K1" s="17"/>
      <c r="L1" s="17"/>
      <c r="M1" s="17"/>
      <c r="N1" s="17"/>
      <c r="O1" s="17"/>
      <c r="P1" s="17"/>
      <c r="Q1" s="17"/>
      <c r="R1" s="17"/>
      <c r="S1" s="17"/>
      <c r="T1" s="17"/>
      <c r="U1" s="17"/>
      <c r="V1" s="17"/>
      <c r="W1" s="17"/>
      <c r="X1" s="17"/>
      <c r="Y1" s="48"/>
      <c r="Z1" s="2"/>
      <c r="AA1" s="17"/>
      <c r="AB1" s="1"/>
      <c r="AC1" s="49" t="s">
        <v>2</v>
      </c>
      <c r="AD1" s="2"/>
      <c r="AE1" s="2"/>
      <c r="AG1" s="49" t="s">
        <v>3</v>
      </c>
      <c r="AH1" s="49" t="s">
        <v>4</v>
      </c>
      <c r="AI1" s="49" t="s">
        <v>5</v>
      </c>
      <c r="AK1" s="49" t="s">
        <v>6</v>
      </c>
      <c r="AL1" s="49" t="s">
        <v>7</v>
      </c>
      <c r="AM1" s="49" t="s">
        <v>8</v>
      </c>
    </row>
    <row r="2" spans="1:39" s="23" customFormat="1" ht="12.75" thickTop="1" thickBot="1" x14ac:dyDescent="0.25">
      <c r="A2" s="20"/>
      <c r="B2" s="20"/>
      <c r="C2" s="20"/>
      <c r="D2" s="20"/>
      <c r="E2" s="20"/>
      <c r="F2" s="20"/>
      <c r="G2" s="20"/>
      <c r="H2" s="3"/>
      <c r="I2" s="4" t="s">
        <v>9</v>
      </c>
      <c r="J2" s="3"/>
      <c r="K2" s="4" t="s">
        <v>10</v>
      </c>
      <c r="L2" s="3"/>
      <c r="M2" s="4" t="s">
        <v>11</v>
      </c>
      <c r="N2" s="3"/>
      <c r="O2" s="4" t="s">
        <v>12</v>
      </c>
      <c r="P2" s="4"/>
      <c r="Q2" s="4" t="s">
        <v>13</v>
      </c>
      <c r="R2" s="4"/>
      <c r="S2" s="5" t="s">
        <v>14</v>
      </c>
      <c r="T2" s="6"/>
      <c r="U2" s="6"/>
      <c r="V2" s="21"/>
      <c r="W2" s="7" t="s">
        <v>15</v>
      </c>
      <c r="X2" s="21"/>
      <c r="Y2" s="22" t="s">
        <v>16</v>
      </c>
      <c r="AA2" s="24" t="s">
        <v>17</v>
      </c>
      <c r="AC2" s="50"/>
      <c r="AD2" s="25" t="s">
        <v>18</v>
      </c>
      <c r="AE2" s="25" t="s">
        <v>19</v>
      </c>
      <c r="AG2" s="50"/>
      <c r="AH2" s="50"/>
      <c r="AI2" s="50"/>
      <c r="AK2" s="50"/>
      <c r="AL2" s="50"/>
      <c r="AM2" s="50"/>
    </row>
    <row r="3" spans="1:39" ht="11.25" customHeight="1" x14ac:dyDescent="0.2">
      <c r="A3" s="26"/>
      <c r="B3" s="26" t="s">
        <v>20</v>
      </c>
      <c r="C3" s="26"/>
      <c r="D3" s="26"/>
      <c r="E3" s="26"/>
      <c r="F3" s="26"/>
      <c r="G3" s="26"/>
      <c r="H3" s="26"/>
      <c r="I3" s="26"/>
      <c r="J3" s="26"/>
      <c r="K3" s="27"/>
      <c r="L3" s="26"/>
      <c r="M3" s="27"/>
      <c r="N3" s="26"/>
      <c r="O3" s="27"/>
      <c r="P3" s="27"/>
      <c r="Q3" s="28"/>
      <c r="R3" s="28"/>
      <c r="T3" s="29"/>
      <c r="U3" s="29"/>
      <c r="V3" s="30"/>
      <c r="X3" s="30"/>
      <c r="Y3" s="29"/>
      <c r="AA3" s="27"/>
      <c r="AC3" s="27"/>
      <c r="AD3" s="27"/>
      <c r="AE3" s="27"/>
      <c r="AG3" s="27"/>
      <c r="AH3" s="27"/>
      <c r="AI3" s="27"/>
      <c r="AK3" s="27"/>
      <c r="AL3" s="27"/>
      <c r="AM3" s="27"/>
    </row>
    <row r="4" spans="1:39" s="1" customFormat="1" ht="11.25" customHeight="1" x14ac:dyDescent="0.2">
      <c r="A4" s="26"/>
      <c r="B4" s="26"/>
      <c r="C4" s="26"/>
      <c r="D4" s="26" t="s">
        <v>21</v>
      </c>
      <c r="E4" s="26"/>
      <c r="F4" s="26"/>
      <c r="G4" s="26"/>
      <c r="H4" s="28"/>
      <c r="I4" s="28"/>
      <c r="J4" s="28"/>
      <c r="K4" s="28"/>
      <c r="L4" s="28"/>
      <c r="M4" s="28"/>
      <c r="N4" s="28"/>
      <c r="O4" s="28"/>
      <c r="P4" s="28"/>
      <c r="Q4" s="28"/>
      <c r="R4" s="28"/>
      <c r="S4" s="9"/>
      <c r="T4" s="9"/>
      <c r="U4" s="9"/>
      <c r="V4" s="9"/>
      <c r="W4" s="9"/>
      <c r="X4" s="9"/>
      <c r="Y4" s="9"/>
      <c r="AA4" s="28"/>
      <c r="AC4" s="28"/>
      <c r="AD4" s="28"/>
      <c r="AE4" s="28"/>
      <c r="AG4" s="28"/>
      <c r="AH4" s="28"/>
      <c r="AI4" s="28"/>
      <c r="AK4" s="28"/>
      <c r="AL4" s="28"/>
      <c r="AM4" s="28"/>
    </row>
    <row r="5" spans="1:39" s="1" customFormat="1" ht="11.25" customHeight="1" x14ac:dyDescent="0.2">
      <c r="A5" s="26"/>
      <c r="B5" s="26"/>
      <c r="C5" s="26"/>
      <c r="D5" s="26"/>
      <c r="E5" s="26" t="s">
        <v>22</v>
      </c>
      <c r="F5" s="26"/>
      <c r="G5" s="26"/>
      <c r="H5" s="28"/>
      <c r="I5" s="28"/>
      <c r="J5" s="28"/>
      <c r="K5" s="28"/>
      <c r="L5" s="28"/>
      <c r="M5" s="28"/>
      <c r="N5" s="28"/>
      <c r="O5" s="28"/>
      <c r="P5" s="28"/>
      <c r="Q5" s="28"/>
      <c r="R5" s="28"/>
      <c r="S5" s="9"/>
      <c r="T5" s="9"/>
      <c r="U5" s="9"/>
      <c r="V5" s="9"/>
      <c r="W5" s="9"/>
      <c r="X5" s="9"/>
      <c r="Y5" s="9"/>
      <c r="AA5" s="28"/>
      <c r="AC5" s="28"/>
      <c r="AD5" s="28"/>
      <c r="AE5" s="28"/>
      <c r="AG5" s="28"/>
      <c r="AH5" s="28"/>
      <c r="AI5" s="28"/>
      <c r="AK5" s="28"/>
      <c r="AL5" s="28"/>
      <c r="AM5" s="28"/>
    </row>
    <row r="6" spans="1:39" s="1" customFormat="1" ht="11.25" customHeight="1" x14ac:dyDescent="0.2">
      <c r="A6" s="26"/>
      <c r="B6" s="26"/>
      <c r="C6" s="26"/>
      <c r="D6" s="26"/>
      <c r="E6" s="26"/>
      <c r="F6" s="26" t="s">
        <v>23</v>
      </c>
      <c r="G6" s="26"/>
      <c r="H6" s="28"/>
      <c r="I6" s="28"/>
      <c r="J6" s="28"/>
      <c r="K6" s="28"/>
      <c r="L6" s="28"/>
      <c r="M6" s="28"/>
      <c r="N6" s="28"/>
      <c r="O6" s="28"/>
      <c r="P6" s="28"/>
      <c r="Q6" s="28"/>
      <c r="R6" s="28"/>
      <c r="S6" s="9"/>
      <c r="T6" s="9"/>
      <c r="U6" s="9"/>
      <c r="V6" s="9"/>
      <c r="W6" s="9"/>
      <c r="X6" s="9"/>
      <c r="Y6" s="9"/>
      <c r="AA6" s="9"/>
      <c r="AC6" s="28"/>
      <c r="AD6" s="28"/>
      <c r="AE6" s="28"/>
      <c r="AG6" s="28"/>
      <c r="AH6" s="28"/>
      <c r="AI6" s="28"/>
      <c r="AK6" s="28"/>
      <c r="AL6" s="28"/>
      <c r="AM6" s="28"/>
    </row>
    <row r="7" spans="1:39" s="1" customFormat="1" ht="11.25" customHeight="1" x14ac:dyDescent="0.2">
      <c r="A7" s="26"/>
      <c r="B7" s="26"/>
      <c r="C7" s="26"/>
      <c r="D7" s="26"/>
      <c r="E7" s="26"/>
      <c r="F7" s="26"/>
      <c r="G7" s="26" t="s">
        <v>24</v>
      </c>
      <c r="H7" s="28"/>
      <c r="I7" s="28">
        <v>602864</v>
      </c>
      <c r="J7" s="28"/>
      <c r="K7" s="28">
        <v>611483</v>
      </c>
      <c r="L7" s="28"/>
      <c r="M7" s="28">
        <v>733987</v>
      </c>
      <c r="N7" s="28"/>
      <c r="O7" s="28">
        <v>729324.36</v>
      </c>
      <c r="P7" s="28"/>
      <c r="Q7" s="28">
        <v>744785.47</v>
      </c>
      <c r="R7" s="28"/>
      <c r="S7" s="9">
        <v>610372.80000000005</v>
      </c>
      <c r="T7" s="9"/>
      <c r="U7" s="9"/>
      <c r="V7" s="9"/>
      <c r="W7" s="8">
        <v>1299533.03</v>
      </c>
      <c r="X7" s="9"/>
      <c r="Y7" s="9">
        <v>605000</v>
      </c>
      <c r="AA7" s="9">
        <v>750000</v>
      </c>
      <c r="AC7" s="28">
        <f>AVERAGE(K7:S7)</f>
        <v>685990.52599999995</v>
      </c>
      <c r="AD7" s="28">
        <f>MAX(K7:S7)</f>
        <v>744785.47</v>
      </c>
      <c r="AE7" s="28">
        <f>MIN(K7:S7)</f>
        <v>610372.80000000005</v>
      </c>
      <c r="AG7" s="28">
        <f>+W7-AC7</f>
        <v>613542.50400000007</v>
      </c>
      <c r="AH7" s="28">
        <f>+W7-AD7</f>
        <v>554747.56000000006</v>
      </c>
      <c r="AI7" s="28">
        <f>+W7-AE7</f>
        <v>689160.23</v>
      </c>
      <c r="AK7" s="28">
        <f>+Y7-AC7</f>
        <v>-80990.525999999954</v>
      </c>
      <c r="AL7" s="28">
        <f>+Y7-AD7</f>
        <v>-139785.46999999997</v>
      </c>
      <c r="AM7" s="28">
        <f>+Y7-AE7</f>
        <v>-5372.8000000000466</v>
      </c>
    </row>
    <row r="8" spans="1:39" s="1" customFormat="1" ht="11.25" customHeight="1" x14ac:dyDescent="0.2">
      <c r="A8" s="26"/>
      <c r="B8" s="26"/>
      <c r="C8" s="26"/>
      <c r="D8" s="26"/>
      <c r="E8" s="26"/>
      <c r="F8" s="26"/>
      <c r="G8" s="26" t="s">
        <v>25</v>
      </c>
      <c r="H8" s="28"/>
      <c r="I8" s="28"/>
      <c r="J8" s="28"/>
      <c r="K8" s="28"/>
      <c r="L8" s="28"/>
      <c r="M8" s="28"/>
      <c r="N8" s="28"/>
      <c r="O8" s="28"/>
      <c r="P8" s="28"/>
      <c r="Q8" s="28">
        <v>39199</v>
      </c>
      <c r="R8" s="28"/>
      <c r="S8" s="9">
        <v>29345.11</v>
      </c>
      <c r="T8" s="9"/>
      <c r="U8" s="9"/>
      <c r="V8" s="9"/>
      <c r="W8" s="8">
        <v>71047.37</v>
      </c>
      <c r="X8" s="9"/>
      <c r="Y8" s="9"/>
      <c r="AA8" s="9"/>
      <c r="AC8" s="28">
        <f>AVERAGE(K8:S8)</f>
        <v>34272.055</v>
      </c>
      <c r="AD8" s="28"/>
      <c r="AE8" s="28"/>
      <c r="AG8" s="28"/>
      <c r="AH8" s="28"/>
      <c r="AI8" s="28"/>
      <c r="AK8" s="28"/>
      <c r="AL8" s="28"/>
      <c r="AM8" s="28"/>
    </row>
    <row r="9" spans="1:39" s="1" customFormat="1" ht="11.25" customHeight="1" x14ac:dyDescent="0.2">
      <c r="A9" s="26"/>
      <c r="B9" s="26"/>
      <c r="C9" s="26"/>
      <c r="D9" s="26"/>
      <c r="E9" s="26"/>
      <c r="F9" s="26"/>
      <c r="G9" s="26" t="s">
        <v>26</v>
      </c>
      <c r="H9" s="28"/>
      <c r="I9" s="28">
        <v>414052</v>
      </c>
      <c r="J9" s="28"/>
      <c r="K9" s="28">
        <v>473317</v>
      </c>
      <c r="L9" s="28"/>
      <c r="M9" s="28">
        <v>522887</v>
      </c>
      <c r="N9" s="28"/>
      <c r="O9" s="28">
        <v>499054.87</v>
      </c>
      <c r="P9" s="28"/>
      <c r="Q9" s="28">
        <v>510696.11</v>
      </c>
      <c r="R9" s="28"/>
      <c r="S9" s="9">
        <v>426335.34</v>
      </c>
      <c r="T9" s="9"/>
      <c r="U9" s="9"/>
      <c r="V9" s="9"/>
      <c r="W9" s="8">
        <v>464087.03</v>
      </c>
      <c r="X9" s="9"/>
      <c r="Y9" s="9">
        <v>475000</v>
      </c>
      <c r="AA9" s="9">
        <v>485000</v>
      </c>
      <c r="AC9" s="28">
        <f>AVERAGE(K9:S9)</f>
        <v>486458.06399999995</v>
      </c>
      <c r="AD9" s="28">
        <f>MAX(K9:S9)</f>
        <v>522887</v>
      </c>
      <c r="AE9" s="28">
        <f>MIN(K9:S9)</f>
        <v>426335.34</v>
      </c>
      <c r="AG9" s="28">
        <f>+W9-AC9</f>
        <v>-22371.033999999927</v>
      </c>
      <c r="AH9" s="28">
        <f>+W9-AD9</f>
        <v>-58799.969999999972</v>
      </c>
      <c r="AI9" s="28">
        <f>+W9-AE9</f>
        <v>37751.69</v>
      </c>
      <c r="AK9" s="28">
        <f>+Y9-AC9</f>
        <v>-11458.063999999955</v>
      </c>
      <c r="AL9" s="28">
        <f>+Y9-AD9</f>
        <v>-47887</v>
      </c>
      <c r="AM9" s="28">
        <f>+Y9-AE9</f>
        <v>48664.659999999974</v>
      </c>
    </row>
    <row r="10" spans="1:39" s="1" customFormat="1" ht="11.25" customHeight="1" x14ac:dyDescent="0.2">
      <c r="A10" s="26"/>
      <c r="B10" s="26"/>
      <c r="C10" s="26"/>
      <c r="D10" s="26"/>
      <c r="E10" s="26"/>
      <c r="F10" s="26"/>
      <c r="G10" s="26" t="s">
        <v>354</v>
      </c>
      <c r="H10" s="28"/>
      <c r="I10" s="28"/>
      <c r="J10" s="28"/>
      <c r="K10" s="28"/>
      <c r="L10" s="28"/>
      <c r="M10" s="28"/>
      <c r="N10" s="28"/>
      <c r="O10" s="28"/>
      <c r="P10" s="28"/>
      <c r="Q10" s="28"/>
      <c r="R10" s="28"/>
      <c r="S10" s="9"/>
      <c r="T10" s="9"/>
      <c r="U10" s="9"/>
      <c r="V10" s="9"/>
      <c r="W10" s="9"/>
      <c r="X10" s="9"/>
      <c r="Y10" s="9"/>
      <c r="AA10" s="9"/>
      <c r="AC10" s="28"/>
      <c r="AD10" s="28"/>
      <c r="AE10" s="28"/>
      <c r="AG10" s="28"/>
      <c r="AH10" s="28"/>
      <c r="AI10" s="28"/>
      <c r="AK10" s="28"/>
      <c r="AL10" s="28"/>
      <c r="AM10" s="28"/>
    </row>
    <row r="11" spans="1:39" s="1" customFormat="1" ht="11.25" customHeight="1" x14ac:dyDescent="0.2">
      <c r="A11" s="26"/>
      <c r="B11" s="26"/>
      <c r="C11" s="26"/>
      <c r="D11" s="26"/>
      <c r="E11" s="26"/>
      <c r="F11" s="26"/>
      <c r="G11" s="26" t="s">
        <v>27</v>
      </c>
      <c r="H11" s="28"/>
      <c r="I11" s="28">
        <v>42944</v>
      </c>
      <c r="J11" s="28"/>
      <c r="K11" s="28">
        <v>50722</v>
      </c>
      <c r="L11" s="28"/>
      <c r="M11" s="28">
        <v>54119</v>
      </c>
      <c r="N11" s="28"/>
      <c r="O11" s="28">
        <v>58053.04</v>
      </c>
      <c r="P11" s="28"/>
      <c r="Q11" s="28">
        <v>55465.42</v>
      </c>
      <c r="R11" s="28"/>
      <c r="S11" s="9">
        <v>58509.86</v>
      </c>
      <c r="T11" s="9"/>
      <c r="U11" s="9"/>
      <c r="V11" s="9"/>
      <c r="W11" s="9">
        <v>60855.32</v>
      </c>
      <c r="X11" s="9"/>
      <c r="Y11" s="9">
        <v>58000</v>
      </c>
      <c r="AA11" s="9">
        <v>59000</v>
      </c>
      <c r="AC11" s="28">
        <f>AVERAGE(K11:S11)</f>
        <v>55373.864000000001</v>
      </c>
      <c r="AD11" s="28">
        <f>MAX(K11:S11)</f>
        <v>58509.86</v>
      </c>
      <c r="AE11" s="28">
        <f>MIN(K11:S11)</f>
        <v>50722</v>
      </c>
      <c r="AG11" s="28">
        <f>+W11-AC11</f>
        <v>5481.4559999999983</v>
      </c>
      <c r="AH11" s="28">
        <f>+W11-AD11</f>
        <v>2345.4599999999991</v>
      </c>
      <c r="AI11" s="28">
        <f>+W11-AE11</f>
        <v>10133.32</v>
      </c>
      <c r="AK11" s="28">
        <f>+Y11-AC11</f>
        <v>2626.1359999999986</v>
      </c>
      <c r="AL11" s="28">
        <f>+Y11-AD11</f>
        <v>-509.86000000000058</v>
      </c>
      <c r="AM11" s="28">
        <f>+Y11-AE11</f>
        <v>7278</v>
      </c>
    </row>
    <row r="12" spans="1:39" s="1" customFormat="1" ht="12" customHeight="1" thickBot="1" x14ac:dyDescent="0.25">
      <c r="A12" s="26"/>
      <c r="B12" s="26"/>
      <c r="C12" s="26"/>
      <c r="D12" s="26"/>
      <c r="E12" s="26"/>
      <c r="F12" s="26"/>
      <c r="G12" s="26" t="s">
        <v>28</v>
      </c>
      <c r="H12" s="28"/>
      <c r="I12" s="31">
        <v>66000</v>
      </c>
      <c r="J12" s="28"/>
      <c r="K12" s="31">
        <v>65000</v>
      </c>
      <c r="L12" s="28"/>
      <c r="M12" s="31">
        <v>65000</v>
      </c>
      <c r="N12" s="28"/>
      <c r="O12" s="31">
        <v>70000</v>
      </c>
      <c r="P12" s="31"/>
      <c r="Q12" s="28">
        <v>70000</v>
      </c>
      <c r="R12" s="28"/>
      <c r="S12" s="11">
        <v>70000</v>
      </c>
      <c r="T12" s="11"/>
      <c r="U12" s="11"/>
      <c r="V12" s="9"/>
      <c r="W12" s="11">
        <v>70000</v>
      </c>
      <c r="X12" s="9"/>
      <c r="Y12" s="11">
        <v>70000</v>
      </c>
      <c r="AA12" s="11">
        <v>70000</v>
      </c>
      <c r="AC12" s="31">
        <f>AVERAGE(K12:S12)</f>
        <v>68000</v>
      </c>
      <c r="AD12" s="31">
        <f>MAX(K12:S12)</f>
        <v>70000</v>
      </c>
      <c r="AE12" s="31">
        <f>MIN(K12:S12)</f>
        <v>65000</v>
      </c>
      <c r="AG12" s="31">
        <f>+W12-AC12</f>
        <v>2000</v>
      </c>
      <c r="AH12" s="31">
        <f>+W12-AD12</f>
        <v>0</v>
      </c>
      <c r="AI12" s="31">
        <f>+W12-AE12</f>
        <v>5000</v>
      </c>
      <c r="AK12" s="31">
        <f>+Y12-AC12</f>
        <v>2000</v>
      </c>
      <c r="AL12" s="31">
        <f>+Y12-AD12</f>
        <v>0</v>
      </c>
      <c r="AM12" s="31">
        <f>+Y12-AE12</f>
        <v>5000</v>
      </c>
    </row>
    <row r="13" spans="1:39" s="1" customFormat="1" ht="12" customHeight="1" thickBot="1" x14ac:dyDescent="0.25">
      <c r="A13" s="26"/>
      <c r="B13" s="26"/>
      <c r="C13" s="26"/>
      <c r="D13" s="26"/>
      <c r="E13" s="26"/>
      <c r="F13" s="26" t="s">
        <v>29</v>
      </c>
      <c r="G13" s="26"/>
      <c r="H13" s="28"/>
      <c r="I13" s="32">
        <f>ROUND(SUM(I6:I12),5)</f>
        <v>1125860</v>
      </c>
      <c r="J13" s="28"/>
      <c r="K13" s="32">
        <f>ROUND(SUM(K6:K12),5)</f>
        <v>1200522</v>
      </c>
      <c r="L13" s="28"/>
      <c r="M13" s="32">
        <f>ROUND(SUM(M6:M12),5)</f>
        <v>1375993</v>
      </c>
      <c r="N13" s="28"/>
      <c r="O13" s="32">
        <f>ROUND(SUM(O6:O12),5)</f>
        <v>1356432.27</v>
      </c>
      <c r="P13" s="32"/>
      <c r="Q13" s="32">
        <f>ROUND(SUM(Q6:Q12),5)</f>
        <v>1420146</v>
      </c>
      <c r="R13" s="32"/>
      <c r="S13" s="12">
        <f>ROUND(SUM(S6:S12),5)</f>
        <v>1194563.1100000001</v>
      </c>
      <c r="T13" s="11"/>
      <c r="U13" s="11"/>
      <c r="V13" s="9"/>
      <c r="W13" s="12">
        <f>ROUND(SUM(W6:W12),5)</f>
        <v>1965522.75</v>
      </c>
      <c r="X13" s="9"/>
      <c r="Y13" s="12">
        <f>ROUND(SUM(Y6:Y12),5)</f>
        <v>1208000</v>
      </c>
      <c r="AA13" s="12">
        <f>ROUND(SUM(AA6:AA12),5)</f>
        <v>1364000</v>
      </c>
      <c r="AC13" s="32">
        <f t="shared" ref="AC13:AE13" si="0">ROUND(SUM(AC6:AC12),5)</f>
        <v>1330094.5090000001</v>
      </c>
      <c r="AD13" s="32">
        <f t="shared" si="0"/>
        <v>1396182.33</v>
      </c>
      <c r="AE13" s="32">
        <f t="shared" si="0"/>
        <v>1152430.1399999999</v>
      </c>
      <c r="AG13" s="32">
        <f t="shared" ref="AG13:AI13" si="1">ROUND(SUM(AG6:AG12),5)</f>
        <v>598652.92599999998</v>
      </c>
      <c r="AH13" s="32">
        <f t="shared" si="1"/>
        <v>498293.05</v>
      </c>
      <c r="AI13" s="32">
        <f t="shared" si="1"/>
        <v>742045.24</v>
      </c>
      <c r="AK13" s="32"/>
      <c r="AL13" s="32"/>
      <c r="AM13" s="32"/>
    </row>
    <row r="14" spans="1:39" s="1" customFormat="1" ht="11.25" customHeight="1" x14ac:dyDescent="0.2">
      <c r="A14" s="26"/>
      <c r="B14" s="26"/>
      <c r="C14" s="26"/>
      <c r="D14" s="26"/>
      <c r="E14" s="26" t="s">
        <v>30</v>
      </c>
      <c r="F14" s="26"/>
      <c r="G14" s="26"/>
      <c r="H14" s="28"/>
      <c r="I14" s="28">
        <f>ROUND(I5+I13,5)</f>
        <v>1125860</v>
      </c>
      <c r="J14" s="28"/>
      <c r="K14" s="28">
        <f>ROUND(K5+K13,5)</f>
        <v>1200522</v>
      </c>
      <c r="L14" s="28"/>
      <c r="M14" s="28">
        <f>ROUND(M5+M13,5)</f>
        <v>1375993</v>
      </c>
      <c r="N14" s="28"/>
      <c r="O14" s="28">
        <f>ROUND(O5+O13,5)</f>
        <v>1356432.27</v>
      </c>
      <c r="P14" s="28"/>
      <c r="Q14" s="28">
        <f>ROUND(Q5+Q13,5)</f>
        <v>1420146</v>
      </c>
      <c r="R14" s="28"/>
      <c r="S14" s="9">
        <f>ROUND(S5+S13,5)</f>
        <v>1194563.1100000001</v>
      </c>
      <c r="T14" s="9"/>
      <c r="U14" s="9"/>
      <c r="V14" s="9"/>
      <c r="W14" s="9">
        <f>ROUND(W5+W13,5)</f>
        <v>1965522.75</v>
      </c>
      <c r="X14" s="9"/>
      <c r="Y14" s="9">
        <f>ROUND(Y5+Y13,5)</f>
        <v>1208000</v>
      </c>
      <c r="AA14" s="9">
        <f>ROUND(AA5+AA13,5)</f>
        <v>1364000</v>
      </c>
      <c r="AC14" s="28">
        <f t="shared" ref="AC14:AE14" si="2">ROUND(AC5+AC13,5)</f>
        <v>1330094.5090000001</v>
      </c>
      <c r="AD14" s="28">
        <f t="shared" si="2"/>
        <v>1396182.33</v>
      </c>
      <c r="AE14" s="28">
        <f t="shared" si="2"/>
        <v>1152430.1399999999</v>
      </c>
      <c r="AG14" s="28">
        <f t="shared" ref="AG14:AI14" si="3">ROUND(AG5+AG13,5)</f>
        <v>598652.92599999998</v>
      </c>
      <c r="AH14" s="28">
        <f t="shared" si="3"/>
        <v>498293.05</v>
      </c>
      <c r="AI14" s="28">
        <f t="shared" si="3"/>
        <v>742045.24</v>
      </c>
      <c r="AK14" s="28"/>
      <c r="AL14" s="28"/>
      <c r="AM14" s="28"/>
    </row>
    <row r="15" spans="1:39" s="1" customFormat="1" ht="11.25" customHeight="1" x14ac:dyDescent="0.2">
      <c r="A15" s="26"/>
      <c r="B15" s="26"/>
      <c r="C15" s="26"/>
      <c r="D15" s="26"/>
      <c r="E15" s="26" t="s">
        <v>31</v>
      </c>
      <c r="F15" s="26"/>
      <c r="G15" s="26"/>
      <c r="H15" s="28"/>
      <c r="I15" s="28"/>
      <c r="J15" s="28"/>
      <c r="K15" s="28"/>
      <c r="L15" s="28"/>
      <c r="M15" s="28"/>
      <c r="N15" s="28"/>
      <c r="O15" s="28"/>
      <c r="P15" s="28"/>
      <c r="Q15" s="28"/>
      <c r="R15" s="28"/>
      <c r="S15" s="9"/>
      <c r="T15" s="9"/>
      <c r="U15" s="9"/>
      <c r="V15" s="9"/>
      <c r="W15" s="9"/>
      <c r="X15" s="9"/>
      <c r="Y15" s="9"/>
      <c r="AA15" s="9"/>
      <c r="AC15" s="28"/>
      <c r="AD15" s="28"/>
      <c r="AE15" s="28"/>
      <c r="AG15" s="28"/>
      <c r="AH15" s="28"/>
      <c r="AI15" s="28"/>
      <c r="AK15" s="28"/>
      <c r="AL15" s="28"/>
      <c r="AM15" s="28"/>
    </row>
    <row r="16" spans="1:39" s="1" customFormat="1" ht="11.25" customHeight="1" x14ac:dyDescent="0.2">
      <c r="A16" s="26"/>
      <c r="B16" s="26"/>
      <c r="C16" s="26"/>
      <c r="D16" s="26"/>
      <c r="E16" s="26"/>
      <c r="F16" s="26" t="s">
        <v>32</v>
      </c>
      <c r="G16" s="26"/>
      <c r="H16" s="28"/>
      <c r="I16" s="28"/>
      <c r="J16" s="28"/>
      <c r="K16" s="28"/>
      <c r="L16" s="28"/>
      <c r="M16" s="28"/>
      <c r="N16" s="28"/>
      <c r="O16" s="28"/>
      <c r="P16" s="28"/>
      <c r="Q16" s="28"/>
      <c r="R16" s="28"/>
      <c r="S16" s="9"/>
      <c r="T16" s="9"/>
      <c r="U16" s="9"/>
      <c r="V16" s="9"/>
      <c r="W16" s="9"/>
      <c r="X16" s="9"/>
      <c r="Y16" s="9"/>
      <c r="AA16" s="9"/>
      <c r="AC16" s="28"/>
      <c r="AD16" s="28"/>
      <c r="AE16" s="28"/>
      <c r="AG16" s="28"/>
      <c r="AH16" s="28"/>
      <c r="AI16" s="28"/>
      <c r="AK16" s="28"/>
      <c r="AL16" s="28"/>
      <c r="AM16" s="28"/>
    </row>
    <row r="17" spans="1:39" s="1" customFormat="1" ht="11.25" customHeight="1" x14ac:dyDescent="0.2">
      <c r="A17" s="26"/>
      <c r="B17" s="26"/>
      <c r="C17" s="26"/>
      <c r="D17" s="26"/>
      <c r="E17" s="26"/>
      <c r="F17" s="26"/>
      <c r="G17" s="26" t="s">
        <v>33</v>
      </c>
      <c r="H17" s="28"/>
      <c r="I17" s="28">
        <v>516</v>
      </c>
      <c r="J17" s="28"/>
      <c r="K17" s="28">
        <v>0</v>
      </c>
      <c r="L17" s="28"/>
      <c r="M17" s="28">
        <v>0</v>
      </c>
      <c r="N17" s="28"/>
      <c r="O17" s="28">
        <v>0</v>
      </c>
      <c r="P17" s="28"/>
      <c r="Q17" s="28">
        <v>0</v>
      </c>
      <c r="R17" s="28"/>
      <c r="S17" s="9">
        <v>500</v>
      </c>
      <c r="T17" s="9"/>
      <c r="U17" s="9"/>
      <c r="V17" s="9"/>
      <c r="W17" s="8">
        <v>300</v>
      </c>
      <c r="X17" s="9"/>
      <c r="Y17" s="9">
        <v>0</v>
      </c>
      <c r="AA17" s="9">
        <v>0</v>
      </c>
      <c r="AC17" s="28">
        <f>AVERAGE(K17:S17)</f>
        <v>100</v>
      </c>
      <c r="AD17" s="28">
        <f>MAX(K17:S17)</f>
        <v>500</v>
      </c>
      <c r="AE17" s="28">
        <f>MIN(K17:S17)</f>
        <v>0</v>
      </c>
      <c r="AG17" s="28">
        <f>+W17-AC17</f>
        <v>200</v>
      </c>
      <c r="AH17" s="28">
        <f>+W17-AD17</f>
        <v>-200</v>
      </c>
      <c r="AI17" s="28">
        <f>+W17-AE17</f>
        <v>300</v>
      </c>
      <c r="AK17" s="28">
        <f>+Y17-AC17</f>
        <v>-100</v>
      </c>
      <c r="AL17" s="28">
        <f>+Y17-AD17</f>
        <v>-500</v>
      </c>
      <c r="AM17" s="28">
        <f>+Y17-AE17</f>
        <v>0</v>
      </c>
    </row>
    <row r="18" spans="1:39" s="1" customFormat="1" ht="11.25" customHeight="1" x14ac:dyDescent="0.2">
      <c r="A18" s="26"/>
      <c r="B18" s="26"/>
      <c r="C18" s="26"/>
      <c r="D18" s="26"/>
      <c r="E18" s="26"/>
      <c r="F18" s="26"/>
      <c r="G18" s="26" t="s">
        <v>34</v>
      </c>
      <c r="H18" s="28"/>
      <c r="I18" s="28">
        <v>73262</v>
      </c>
      <c r="J18" s="28"/>
      <c r="K18" s="28">
        <v>113988</v>
      </c>
      <c r="L18" s="28"/>
      <c r="M18" s="28">
        <v>119728</v>
      </c>
      <c r="N18" s="28"/>
      <c r="O18" s="28">
        <v>107722.02</v>
      </c>
      <c r="P18" s="28"/>
      <c r="Q18" s="28">
        <v>100923.4</v>
      </c>
      <c r="R18" s="28"/>
      <c r="S18" s="9">
        <v>60519</v>
      </c>
      <c r="T18" s="9"/>
      <c r="U18" s="9"/>
      <c r="V18" s="9"/>
      <c r="W18" s="8">
        <v>65906</v>
      </c>
      <c r="X18" s="9"/>
      <c r="Y18" s="9">
        <v>103500</v>
      </c>
      <c r="AA18" s="9">
        <v>103500</v>
      </c>
      <c r="AC18" s="28">
        <f>AVERAGE(K18:S18)</f>
        <v>100576.084</v>
      </c>
      <c r="AD18" s="28">
        <f>MAX(K18:S18)</f>
        <v>119728</v>
      </c>
      <c r="AE18" s="28">
        <f>MIN(K18:S18)</f>
        <v>60519</v>
      </c>
      <c r="AG18" s="28">
        <f>+W18-AC18</f>
        <v>-34670.084000000003</v>
      </c>
      <c r="AH18" s="28">
        <f>+W18-AD18</f>
        <v>-53822</v>
      </c>
      <c r="AI18" s="28">
        <f>+W18-AE18</f>
        <v>5387</v>
      </c>
      <c r="AK18" s="28">
        <f>+Y18-AC18</f>
        <v>2923.9159999999974</v>
      </c>
      <c r="AL18" s="28">
        <f>+Y18-AD18</f>
        <v>-16228</v>
      </c>
      <c r="AM18" s="28">
        <f>+Y18-AE18</f>
        <v>42981</v>
      </c>
    </row>
    <row r="19" spans="1:39" s="1" customFormat="1" ht="11.25" customHeight="1" x14ac:dyDescent="0.2">
      <c r="A19" s="26"/>
      <c r="B19" s="26"/>
      <c r="C19" s="26"/>
      <c r="D19" s="26"/>
      <c r="E19" s="26"/>
      <c r="F19" s="26"/>
      <c r="G19" s="26" t="s">
        <v>35</v>
      </c>
      <c r="H19" s="28"/>
      <c r="I19" s="28"/>
      <c r="J19" s="28"/>
      <c r="K19" s="28">
        <v>3686</v>
      </c>
      <c r="L19" s="28"/>
      <c r="M19" s="28">
        <v>4124</v>
      </c>
      <c r="N19" s="28"/>
      <c r="O19" s="28">
        <v>4551.3500000000004</v>
      </c>
      <c r="P19" s="28"/>
      <c r="Q19" s="28">
        <v>2293</v>
      </c>
      <c r="R19" s="28"/>
      <c r="S19" s="9">
        <v>1746</v>
      </c>
      <c r="T19" s="9"/>
      <c r="U19" s="9"/>
      <c r="V19" s="9"/>
      <c r="W19" s="8">
        <v>1473</v>
      </c>
      <c r="X19" s="9"/>
      <c r="Y19" s="9">
        <v>2000</v>
      </c>
      <c r="AA19" s="9">
        <v>2000</v>
      </c>
      <c r="AC19" s="28">
        <f>AVERAGE(K19:S19)</f>
        <v>3280.0699999999997</v>
      </c>
      <c r="AD19" s="28">
        <f>MAX(K19:S19)</f>
        <v>4551.3500000000004</v>
      </c>
      <c r="AE19" s="28">
        <f>MIN(K19:S19)</f>
        <v>1746</v>
      </c>
      <c r="AG19" s="28">
        <f>+W19-AC19</f>
        <v>-1807.0699999999997</v>
      </c>
      <c r="AH19" s="28">
        <f>+W19-AD19</f>
        <v>-3078.3500000000004</v>
      </c>
      <c r="AI19" s="28">
        <f>+W19-AE19</f>
        <v>-273</v>
      </c>
      <c r="AK19" s="28">
        <f>+Y19-AC19</f>
        <v>-1280.0699999999997</v>
      </c>
      <c r="AL19" s="28">
        <f>+Y19-AD19</f>
        <v>-2551.3500000000004</v>
      </c>
      <c r="AM19" s="28">
        <f>+Y19-AE19</f>
        <v>254</v>
      </c>
    </row>
    <row r="20" spans="1:39" s="1" customFormat="1" ht="11.25" customHeight="1" x14ac:dyDescent="0.2">
      <c r="A20" s="26"/>
      <c r="B20" s="26"/>
      <c r="C20" s="26"/>
      <c r="D20" s="26"/>
      <c r="E20" s="26"/>
      <c r="F20" s="26"/>
      <c r="G20" s="26" t="s">
        <v>36</v>
      </c>
      <c r="H20" s="28"/>
      <c r="I20" s="28">
        <v>227266</v>
      </c>
      <c r="J20" s="28"/>
      <c r="K20" s="28">
        <v>269309</v>
      </c>
      <c r="L20" s="28"/>
      <c r="M20" s="28">
        <f>234411+1391</f>
        <v>235802</v>
      </c>
      <c r="N20" s="28"/>
      <c r="O20" s="28">
        <v>192032.32</v>
      </c>
      <c r="P20" s="28"/>
      <c r="Q20" s="28">
        <v>220165</v>
      </c>
      <c r="R20" s="28"/>
      <c r="S20" s="9">
        <v>188845</v>
      </c>
      <c r="T20" s="9"/>
      <c r="U20" s="9"/>
      <c r="V20" s="9"/>
      <c r="W20" s="8">
        <v>127855</v>
      </c>
      <c r="X20" s="9"/>
      <c r="Y20" s="9">
        <v>227500</v>
      </c>
      <c r="AA20" s="9">
        <v>227500</v>
      </c>
      <c r="AC20" s="28">
        <f>AVERAGE(K20:S20)</f>
        <v>221230.66400000002</v>
      </c>
      <c r="AD20" s="28">
        <f>MAX(K20:S20)</f>
        <v>269309</v>
      </c>
      <c r="AE20" s="28">
        <f>MIN(K20:S20)</f>
        <v>188845</v>
      </c>
      <c r="AG20" s="28">
        <f>+W20-AC20</f>
        <v>-93375.664000000019</v>
      </c>
      <c r="AH20" s="28">
        <f>+W20-AD20</f>
        <v>-141454</v>
      </c>
      <c r="AI20" s="28">
        <f>+W20-AE20</f>
        <v>-60990</v>
      </c>
      <c r="AK20" s="28">
        <f>+Y20-AC20</f>
        <v>6269.3359999999811</v>
      </c>
      <c r="AL20" s="28">
        <f>+Y20-AD20</f>
        <v>-41809</v>
      </c>
      <c r="AM20" s="28">
        <f>+Y20-AE20</f>
        <v>38655</v>
      </c>
    </row>
    <row r="21" spans="1:39" s="1" customFormat="1" ht="12" customHeight="1" thickBot="1" x14ac:dyDescent="0.25">
      <c r="A21" s="26"/>
      <c r="B21" s="26"/>
      <c r="C21" s="26"/>
      <c r="D21" s="26"/>
      <c r="E21" s="26"/>
      <c r="F21" s="26"/>
      <c r="G21" s="26" t="s">
        <v>37</v>
      </c>
      <c r="H21" s="28"/>
      <c r="I21" s="33">
        <v>10273</v>
      </c>
      <c r="J21" s="28"/>
      <c r="K21" s="33">
        <v>7086</v>
      </c>
      <c r="L21" s="28"/>
      <c r="M21" s="33">
        <v>11369</v>
      </c>
      <c r="N21" s="28"/>
      <c r="O21" s="33">
        <v>6159</v>
      </c>
      <c r="P21" s="33"/>
      <c r="Q21" s="33">
        <v>7957</v>
      </c>
      <c r="R21" s="33"/>
      <c r="S21" s="14">
        <v>4469</v>
      </c>
      <c r="T21" s="11"/>
      <c r="U21" s="11"/>
      <c r="V21" s="9"/>
      <c r="W21" s="13">
        <v>763</v>
      </c>
      <c r="X21" s="9"/>
      <c r="Y21" s="14">
        <v>500</v>
      </c>
      <c r="AA21" s="14">
        <v>0</v>
      </c>
      <c r="AC21" s="33">
        <f>AVERAGE(K21:S21)</f>
        <v>7408</v>
      </c>
      <c r="AD21" s="33">
        <f>MAX(K21:S21)</f>
        <v>11369</v>
      </c>
      <c r="AE21" s="33">
        <f>MIN(K21:S21)</f>
        <v>4469</v>
      </c>
      <c r="AG21" s="33">
        <f>+W21-AC21</f>
        <v>-6645</v>
      </c>
      <c r="AH21" s="33">
        <f>+W21-AD21</f>
        <v>-10606</v>
      </c>
      <c r="AI21" s="33">
        <f>+W21-AE21</f>
        <v>-3706</v>
      </c>
      <c r="AK21" s="33">
        <f>+Y21-AC21</f>
        <v>-6908</v>
      </c>
      <c r="AL21" s="33">
        <f>+Y21-AD21</f>
        <v>-10869</v>
      </c>
      <c r="AM21" s="33">
        <f>+Y21-AE21</f>
        <v>-3969</v>
      </c>
    </row>
    <row r="22" spans="1:39" s="1" customFormat="1" ht="11.25" customHeight="1" x14ac:dyDescent="0.2">
      <c r="A22" s="26"/>
      <c r="B22" s="26"/>
      <c r="C22" s="26"/>
      <c r="D22" s="26"/>
      <c r="E22" s="26"/>
      <c r="F22" s="26" t="s">
        <v>38</v>
      </c>
      <c r="G22" s="26"/>
      <c r="H22" s="28"/>
      <c r="I22" s="28">
        <f>ROUND(SUM(I16:I21),5)</f>
        <v>311317</v>
      </c>
      <c r="J22" s="28"/>
      <c r="K22" s="28">
        <f>ROUND(SUM(K16:K21),5)</f>
        <v>394069</v>
      </c>
      <c r="L22" s="28"/>
      <c r="M22" s="28">
        <f>ROUND(SUM(M16:M21),5)</f>
        <v>371023</v>
      </c>
      <c r="N22" s="28"/>
      <c r="O22" s="28">
        <f>ROUND(SUM(O16:O21),5)</f>
        <v>310464.69</v>
      </c>
      <c r="P22" s="28"/>
      <c r="Q22" s="28">
        <f>ROUND(SUM(Q16:Q21),5)</f>
        <v>331338.40000000002</v>
      </c>
      <c r="R22" s="28"/>
      <c r="S22" s="9">
        <f>ROUND(SUM(S16:S21),5)</f>
        <v>256079</v>
      </c>
      <c r="T22" s="9"/>
      <c r="U22" s="9"/>
      <c r="V22" s="9"/>
      <c r="W22" s="9">
        <f>ROUND(SUM(W16:W21),5)</f>
        <v>196297</v>
      </c>
      <c r="X22" s="9"/>
      <c r="Y22" s="9">
        <f>ROUND(SUM(Y16:Y21),5)</f>
        <v>333500</v>
      </c>
      <c r="AA22" s="9">
        <f>ROUND(SUM(AA16:AA21),5)</f>
        <v>333000</v>
      </c>
      <c r="AC22" s="28">
        <f t="shared" ref="AC22:AE22" si="4">ROUND(SUM(AC16:AC21),5)</f>
        <v>332594.81800000003</v>
      </c>
      <c r="AD22" s="28">
        <f t="shared" si="4"/>
        <v>405457.35</v>
      </c>
      <c r="AE22" s="28">
        <f t="shared" si="4"/>
        <v>255579</v>
      </c>
      <c r="AG22" s="28">
        <f t="shared" ref="AG22:AI22" si="5">ROUND(SUM(AG16:AG21),5)</f>
        <v>-136297.818</v>
      </c>
      <c r="AH22" s="28">
        <f t="shared" si="5"/>
        <v>-209160.35</v>
      </c>
      <c r="AI22" s="28">
        <f t="shared" si="5"/>
        <v>-59282</v>
      </c>
      <c r="AK22" s="28"/>
      <c r="AL22" s="28"/>
      <c r="AM22" s="28"/>
    </row>
    <row r="23" spans="1:39" s="1" customFormat="1" ht="11.25" customHeight="1" x14ac:dyDescent="0.2">
      <c r="A23" s="26"/>
      <c r="B23" s="26"/>
      <c r="C23" s="26"/>
      <c r="D23" s="26"/>
      <c r="E23" s="26"/>
      <c r="F23" s="26" t="s">
        <v>39</v>
      </c>
      <c r="G23" s="26"/>
      <c r="H23" s="28"/>
      <c r="I23" s="28"/>
      <c r="J23" s="28"/>
      <c r="K23" s="28"/>
      <c r="L23" s="28"/>
      <c r="M23" s="28"/>
      <c r="N23" s="28"/>
      <c r="O23" s="28"/>
      <c r="P23" s="28"/>
      <c r="Q23" s="28"/>
      <c r="R23" s="28"/>
      <c r="S23" s="9"/>
      <c r="T23" s="9"/>
      <c r="U23" s="9"/>
      <c r="V23" s="9"/>
      <c r="W23" s="9"/>
      <c r="X23" s="9"/>
      <c r="Y23" s="9"/>
      <c r="AA23" s="9"/>
      <c r="AC23" s="28"/>
      <c r="AD23" s="28"/>
      <c r="AE23" s="28"/>
      <c r="AG23" s="28"/>
      <c r="AH23" s="28"/>
      <c r="AI23" s="28"/>
      <c r="AK23" s="28"/>
      <c r="AL23" s="28"/>
      <c r="AM23" s="28"/>
    </row>
    <row r="24" spans="1:39" s="1" customFormat="1" ht="11.25" customHeight="1" x14ac:dyDescent="0.2">
      <c r="A24" s="26"/>
      <c r="B24" s="26"/>
      <c r="C24" s="26"/>
      <c r="D24" s="26"/>
      <c r="E24" s="26"/>
      <c r="F24" s="26"/>
      <c r="G24" s="26" t="s">
        <v>40</v>
      </c>
      <c r="H24" s="28"/>
      <c r="I24" s="28">
        <v>254415</v>
      </c>
      <c r="J24" s="28"/>
      <c r="K24" s="28">
        <v>266622</v>
      </c>
      <c r="L24" s="28"/>
      <c r="M24" s="28">
        <v>270431</v>
      </c>
      <c r="N24" s="28"/>
      <c r="O24" s="28">
        <v>274598.71000000002</v>
      </c>
      <c r="P24" s="28"/>
      <c r="Q24" s="28">
        <v>285640</v>
      </c>
      <c r="R24" s="28"/>
      <c r="S24" s="9">
        <v>293826</v>
      </c>
      <c r="T24" s="9"/>
      <c r="U24" s="9"/>
      <c r="V24" s="9"/>
      <c r="W24" s="9">
        <v>279945</v>
      </c>
      <c r="X24" s="9"/>
      <c r="Y24" s="9">
        <v>320000</v>
      </c>
      <c r="AA24" s="9">
        <v>320000</v>
      </c>
      <c r="AC24" s="28">
        <f>AVERAGE(K24:S24)</f>
        <v>278223.54200000002</v>
      </c>
      <c r="AD24" s="28">
        <f>MAX(K24:S24)</f>
        <v>293826</v>
      </c>
      <c r="AE24" s="28">
        <f>MIN(K24:S24)</f>
        <v>266622</v>
      </c>
      <c r="AG24" s="28">
        <f>+W24-AC24</f>
        <v>1721.4579999999842</v>
      </c>
      <c r="AH24" s="28">
        <f>+W24-AD24</f>
        <v>-13881</v>
      </c>
      <c r="AI24" s="28">
        <f>+W24-AE24</f>
        <v>13323</v>
      </c>
      <c r="AK24" s="28">
        <f>+Y24-AC24</f>
        <v>41776.457999999984</v>
      </c>
      <c r="AL24" s="28">
        <f>+Y24-AD24</f>
        <v>26174</v>
      </c>
      <c r="AM24" s="28">
        <f>+Y24-AE24</f>
        <v>53378</v>
      </c>
    </row>
    <row r="25" spans="1:39" s="1" customFormat="1" ht="11.25" customHeight="1" x14ac:dyDescent="0.2">
      <c r="A25" s="26"/>
      <c r="B25" s="26"/>
      <c r="C25" s="26"/>
      <c r="D25" s="26"/>
      <c r="E25" s="26"/>
      <c r="F25" s="26"/>
      <c r="G25" s="26" t="s">
        <v>41</v>
      </c>
      <c r="H25" s="28"/>
      <c r="I25" s="28">
        <v>303980</v>
      </c>
      <c r="J25" s="28"/>
      <c r="K25" s="28">
        <v>331071</v>
      </c>
      <c r="L25" s="28"/>
      <c r="M25" s="28">
        <v>325491</v>
      </c>
      <c r="N25" s="28"/>
      <c r="O25" s="28">
        <v>344710.13</v>
      </c>
      <c r="P25" s="28"/>
      <c r="Q25" s="28">
        <v>257379.9</v>
      </c>
      <c r="R25" s="28"/>
      <c r="S25" s="9">
        <v>364899.94</v>
      </c>
      <c r="T25" s="9"/>
      <c r="U25" s="9"/>
      <c r="V25" s="9"/>
      <c r="W25" s="9">
        <v>425881.8</v>
      </c>
      <c r="X25" s="9"/>
      <c r="Y25" s="9">
        <v>435000</v>
      </c>
      <c r="AA25" s="9">
        <v>435000</v>
      </c>
      <c r="AC25" s="28">
        <f>AVERAGE(K25:S25)</f>
        <v>324710.39399999997</v>
      </c>
      <c r="AD25" s="28">
        <f>MAX(K25:S25)</f>
        <v>364899.94</v>
      </c>
      <c r="AE25" s="28">
        <f>MIN(K25:S25)</f>
        <v>257379.9</v>
      </c>
      <c r="AG25" s="28">
        <f>+W25-AC25</f>
        <v>101171.40600000002</v>
      </c>
      <c r="AH25" s="28">
        <f>+W25-AD25</f>
        <v>60981.859999999986</v>
      </c>
      <c r="AI25" s="28">
        <f>+W25-AE25</f>
        <v>168501.9</v>
      </c>
      <c r="AK25" s="28">
        <f>+Y25-AC25</f>
        <v>110289.60600000003</v>
      </c>
      <c r="AL25" s="28">
        <f>+Y25-AD25</f>
        <v>70100.06</v>
      </c>
      <c r="AM25" s="28">
        <f>+Y25-AE25</f>
        <v>177620.1</v>
      </c>
    </row>
    <row r="26" spans="1:39" s="1" customFormat="1" ht="12" customHeight="1" thickBot="1" x14ac:dyDescent="0.25">
      <c r="A26" s="26"/>
      <c r="B26" s="26"/>
      <c r="C26" s="26"/>
      <c r="D26" s="26"/>
      <c r="E26" s="26"/>
      <c r="F26" s="26"/>
      <c r="G26" s="26" t="s">
        <v>42</v>
      </c>
      <c r="H26" s="28"/>
      <c r="I26" s="33">
        <v>182345</v>
      </c>
      <c r="J26" s="28"/>
      <c r="K26" s="33">
        <v>228941</v>
      </c>
      <c r="L26" s="28"/>
      <c r="M26" s="33">
        <v>220681</v>
      </c>
      <c r="N26" s="28"/>
      <c r="O26" s="33">
        <v>182668.11</v>
      </c>
      <c r="P26" s="33"/>
      <c r="Q26" s="33">
        <v>327524.28999999998</v>
      </c>
      <c r="R26" s="33"/>
      <c r="S26" s="14">
        <v>344650.32</v>
      </c>
      <c r="T26" s="11"/>
      <c r="U26" s="11"/>
      <c r="V26" s="9"/>
      <c r="W26" s="14">
        <v>284097.58</v>
      </c>
      <c r="X26" s="9"/>
      <c r="Y26" s="14">
        <v>440000</v>
      </c>
      <c r="AA26" s="14">
        <v>440000</v>
      </c>
      <c r="AC26" s="33">
        <f>AVERAGE(K26:S26)</f>
        <v>260892.94399999999</v>
      </c>
      <c r="AD26" s="33">
        <f>MAX(K26:S26)</f>
        <v>344650.32</v>
      </c>
      <c r="AE26" s="33">
        <f>MIN(K26:S26)</f>
        <v>182668.11</v>
      </c>
      <c r="AG26" s="33">
        <f>+W26-AC26</f>
        <v>23204.636000000028</v>
      </c>
      <c r="AH26" s="33">
        <f>+W26-AD26</f>
        <v>-60552.739999999991</v>
      </c>
      <c r="AI26" s="33">
        <f>+W26-AE26</f>
        <v>101429.47000000003</v>
      </c>
      <c r="AK26" s="33">
        <f>+Y26-AC26</f>
        <v>179107.05600000001</v>
      </c>
      <c r="AL26" s="33">
        <f>+Y26-AD26</f>
        <v>95349.68</v>
      </c>
      <c r="AM26" s="33">
        <f>+Y26-AE26</f>
        <v>257331.89</v>
      </c>
    </row>
    <row r="27" spans="1:39" s="1" customFormat="1" ht="11.25" customHeight="1" x14ac:dyDescent="0.2">
      <c r="A27" s="26"/>
      <c r="B27" s="26"/>
      <c r="C27" s="26"/>
      <c r="D27" s="26"/>
      <c r="E27" s="26"/>
      <c r="F27" s="26" t="s">
        <v>43</v>
      </c>
      <c r="G27" s="26"/>
      <c r="H27" s="28"/>
      <c r="I27" s="28">
        <f>ROUND(SUM(I23:I26),5)</f>
        <v>740740</v>
      </c>
      <c r="J27" s="28"/>
      <c r="K27" s="28">
        <f>ROUND(SUM(K23:K26),5)</f>
        <v>826634</v>
      </c>
      <c r="L27" s="28"/>
      <c r="M27" s="28">
        <f>ROUND(SUM(M23:M26),5)</f>
        <v>816603</v>
      </c>
      <c r="N27" s="28"/>
      <c r="O27" s="28">
        <f>ROUND(SUM(O23:O26),5)</f>
        <v>801976.95</v>
      </c>
      <c r="P27" s="28"/>
      <c r="Q27" s="28">
        <f>ROUND(SUM(Q23:Q26),5)</f>
        <v>870544.19</v>
      </c>
      <c r="R27" s="28"/>
      <c r="S27" s="9">
        <f>ROUND(SUM(S23:S26),5)</f>
        <v>1003376.26</v>
      </c>
      <c r="T27" s="9"/>
      <c r="U27" s="9"/>
      <c r="V27" s="9"/>
      <c r="W27" s="9">
        <f>ROUND(SUM(W23:W26),5)</f>
        <v>989924.38</v>
      </c>
      <c r="X27" s="9"/>
      <c r="Y27" s="9">
        <f>ROUND(SUM(Y23:Y26),5)</f>
        <v>1195000</v>
      </c>
      <c r="AA27" s="9">
        <f>ROUND(SUM(AA23:AA26),5)</f>
        <v>1195000</v>
      </c>
      <c r="AC27" s="28">
        <f t="shared" ref="AC27:AE27" si="6">ROUND(SUM(AC23:AC26),5)</f>
        <v>863826.88</v>
      </c>
      <c r="AD27" s="28">
        <f t="shared" si="6"/>
        <v>1003376.26</v>
      </c>
      <c r="AE27" s="28">
        <f t="shared" si="6"/>
        <v>706670.01</v>
      </c>
      <c r="AG27" s="28">
        <f t="shared" ref="AG27:AI27" si="7">ROUND(SUM(AG23:AG26),5)</f>
        <v>126097.5</v>
      </c>
      <c r="AH27" s="28">
        <f t="shared" si="7"/>
        <v>-13451.88</v>
      </c>
      <c r="AI27" s="28">
        <f t="shared" si="7"/>
        <v>283254.37</v>
      </c>
      <c r="AK27" s="28"/>
      <c r="AL27" s="28"/>
      <c r="AM27" s="28"/>
    </row>
    <row r="28" spans="1:39" s="1" customFormat="1" ht="11.25" customHeight="1" x14ac:dyDescent="0.2">
      <c r="A28" s="26"/>
      <c r="B28" s="26"/>
      <c r="C28" s="26"/>
      <c r="D28" s="26"/>
      <c r="E28" s="26"/>
      <c r="F28" s="26" t="s">
        <v>44</v>
      </c>
      <c r="G28" s="26"/>
      <c r="H28" s="28"/>
      <c r="I28" s="28"/>
      <c r="J28" s="28"/>
      <c r="K28" s="28"/>
      <c r="L28" s="28"/>
      <c r="M28" s="28"/>
      <c r="N28" s="28"/>
      <c r="O28" s="28"/>
      <c r="P28" s="28"/>
      <c r="Q28" s="28"/>
      <c r="R28" s="28"/>
      <c r="S28" s="9"/>
      <c r="T28" s="9"/>
      <c r="U28" s="9"/>
      <c r="V28" s="9"/>
      <c r="W28" s="9"/>
      <c r="X28" s="9"/>
      <c r="Y28" s="9"/>
      <c r="AA28" s="9"/>
      <c r="AC28" s="28"/>
      <c r="AD28" s="28"/>
      <c r="AE28" s="28"/>
      <c r="AG28" s="28"/>
      <c r="AH28" s="28"/>
      <c r="AI28" s="28"/>
      <c r="AK28" s="28"/>
      <c r="AL28" s="28"/>
      <c r="AM28" s="28"/>
    </row>
    <row r="29" spans="1:39" s="1" customFormat="1" ht="11.25" customHeight="1" x14ac:dyDescent="0.2">
      <c r="A29" s="26"/>
      <c r="B29" s="26"/>
      <c r="C29" s="26"/>
      <c r="D29" s="26"/>
      <c r="E29" s="26"/>
      <c r="F29" s="26"/>
      <c r="G29" s="26" t="s">
        <v>45</v>
      </c>
      <c r="H29" s="28"/>
      <c r="I29" s="28">
        <v>295226</v>
      </c>
      <c r="J29" s="28"/>
      <c r="K29" s="28">
        <v>386141</v>
      </c>
      <c r="L29" s="28"/>
      <c r="M29" s="28">
        <v>363570</v>
      </c>
      <c r="N29" s="28"/>
      <c r="O29" s="28">
        <v>484621.34</v>
      </c>
      <c r="P29" s="28"/>
      <c r="Q29" s="28">
        <v>560337.82999999996</v>
      </c>
      <c r="R29" s="28"/>
      <c r="S29" s="9">
        <v>269650.57</v>
      </c>
      <c r="T29" s="9"/>
      <c r="U29" s="9"/>
      <c r="V29" s="9"/>
      <c r="W29" s="9">
        <v>207633.84</v>
      </c>
      <c r="X29" s="9"/>
      <c r="Y29" s="9">
        <v>330000</v>
      </c>
      <c r="AA29" s="9">
        <v>300000</v>
      </c>
      <c r="AC29" s="28">
        <f>AVERAGE(K29:S29)</f>
        <v>412864.14799999999</v>
      </c>
      <c r="AD29" s="28">
        <f>MAX(K29:S29)</f>
        <v>560337.82999999996</v>
      </c>
      <c r="AE29" s="28">
        <f>MIN(K29:S29)</f>
        <v>269650.57</v>
      </c>
      <c r="AG29" s="28">
        <f>+W29-AC29</f>
        <v>-205230.30799999999</v>
      </c>
      <c r="AH29" s="28">
        <f>+W29-AD29</f>
        <v>-352703.99</v>
      </c>
      <c r="AI29" s="28">
        <f>+W29-AE29</f>
        <v>-62016.73000000001</v>
      </c>
      <c r="AK29" s="28">
        <f>+Y29-AC29</f>
        <v>-82864.147999999986</v>
      </c>
      <c r="AL29" s="28">
        <f>+Y29-AD29</f>
        <v>-230337.82999999996</v>
      </c>
      <c r="AM29" s="28">
        <f>+Y29-AE29</f>
        <v>60349.429999999993</v>
      </c>
    </row>
    <row r="30" spans="1:39" s="1" customFormat="1" ht="11.25" customHeight="1" x14ac:dyDescent="0.2">
      <c r="A30" s="26"/>
      <c r="B30" s="26"/>
      <c r="C30" s="26"/>
      <c r="D30" s="26"/>
      <c r="E30" s="26"/>
      <c r="F30" s="26"/>
      <c r="G30" s="26" t="s">
        <v>46</v>
      </c>
      <c r="H30" s="28"/>
      <c r="I30" s="28">
        <v>14510</v>
      </c>
      <c r="J30" s="28"/>
      <c r="K30" s="28">
        <v>12680</v>
      </c>
      <c r="L30" s="28"/>
      <c r="M30" s="28">
        <v>8510</v>
      </c>
      <c r="N30" s="28"/>
      <c r="O30" s="28">
        <v>18517.7</v>
      </c>
      <c r="P30" s="28"/>
      <c r="Q30" s="28">
        <v>21124</v>
      </c>
      <c r="R30" s="28"/>
      <c r="S30" s="9">
        <v>20662.150000000001</v>
      </c>
      <c r="T30" s="9"/>
      <c r="U30" s="9"/>
      <c r="V30" s="9"/>
      <c r="W30" s="9">
        <v>36210</v>
      </c>
      <c r="X30" s="9"/>
      <c r="Y30" s="9">
        <v>21500</v>
      </c>
      <c r="AA30" s="9">
        <v>35000</v>
      </c>
      <c r="AC30" s="28">
        <f>AVERAGE(K30:S30)</f>
        <v>16298.77</v>
      </c>
      <c r="AD30" s="28">
        <f>MAX(K30:S30)</f>
        <v>21124</v>
      </c>
      <c r="AE30" s="28">
        <f>MIN(K30:S30)</f>
        <v>8510</v>
      </c>
      <c r="AG30" s="28">
        <f>+W30-AC30</f>
        <v>19911.23</v>
      </c>
      <c r="AH30" s="28">
        <f>+W30-AD30</f>
        <v>15086</v>
      </c>
      <c r="AI30" s="28">
        <f>+W30-AE30</f>
        <v>27700</v>
      </c>
      <c r="AK30" s="28">
        <f>+Y30-AC30</f>
        <v>5201.2299999999996</v>
      </c>
      <c r="AL30" s="28">
        <f>+Y30-AD30</f>
        <v>376</v>
      </c>
      <c r="AM30" s="28">
        <f>+Y30-AE30</f>
        <v>12990</v>
      </c>
    </row>
    <row r="31" spans="1:39" s="1" customFormat="1" ht="12" customHeight="1" thickBot="1" x14ac:dyDescent="0.25">
      <c r="A31" s="26"/>
      <c r="B31" s="26"/>
      <c r="C31" s="26"/>
      <c r="D31" s="26"/>
      <c r="E31" s="26"/>
      <c r="F31" s="26"/>
      <c r="G31" s="26" t="s">
        <v>47</v>
      </c>
      <c r="H31" s="28"/>
      <c r="I31" s="31">
        <v>26730</v>
      </c>
      <c r="J31" s="28"/>
      <c r="K31" s="31">
        <v>31912</v>
      </c>
      <c r="L31" s="28"/>
      <c r="M31" s="31">
        <v>28139</v>
      </c>
      <c r="N31" s="28"/>
      <c r="O31" s="31">
        <v>30543.7</v>
      </c>
      <c r="P31" s="31"/>
      <c r="Q31" s="28">
        <v>24565</v>
      </c>
      <c r="R31" s="28"/>
      <c r="S31" s="11">
        <v>19770</v>
      </c>
      <c r="T31" s="11"/>
      <c r="U31" s="11"/>
      <c r="V31" s="9"/>
      <c r="W31" s="11">
        <v>18840</v>
      </c>
      <c r="X31" s="9"/>
      <c r="Y31" s="11">
        <v>20000</v>
      </c>
      <c r="AA31" s="11">
        <v>20000</v>
      </c>
      <c r="AC31" s="31">
        <f>AVERAGE(K31:S31)</f>
        <v>26985.940000000002</v>
      </c>
      <c r="AD31" s="31">
        <f>MAX(K31:S31)</f>
        <v>31912</v>
      </c>
      <c r="AE31" s="31">
        <f>MIN(K31:S31)</f>
        <v>19770</v>
      </c>
      <c r="AG31" s="31">
        <f>+W31-AC31</f>
        <v>-8145.9400000000023</v>
      </c>
      <c r="AH31" s="31">
        <f>+W31-AD31</f>
        <v>-13072</v>
      </c>
      <c r="AI31" s="31">
        <f>+W31-AE31</f>
        <v>-930</v>
      </c>
      <c r="AK31" s="31">
        <f>+Y31-AC31</f>
        <v>-6985.9400000000023</v>
      </c>
      <c r="AL31" s="31">
        <f>+Y31-AD31</f>
        <v>-11912</v>
      </c>
      <c r="AM31" s="31">
        <f>+Y31-AE31</f>
        <v>230</v>
      </c>
    </row>
    <row r="32" spans="1:39" s="1" customFormat="1" ht="12" customHeight="1" thickBot="1" x14ac:dyDescent="0.25">
      <c r="A32" s="26"/>
      <c r="B32" s="26"/>
      <c r="C32" s="26"/>
      <c r="D32" s="26"/>
      <c r="E32" s="26"/>
      <c r="F32" s="26" t="s">
        <v>48</v>
      </c>
      <c r="G32" s="26"/>
      <c r="H32" s="28"/>
      <c r="I32" s="32">
        <f>ROUND(SUM(I28:I31),5)</f>
        <v>336466</v>
      </c>
      <c r="J32" s="28"/>
      <c r="K32" s="32">
        <f>ROUND(SUM(K28:K31),5)</f>
        <v>430733</v>
      </c>
      <c r="L32" s="28"/>
      <c r="M32" s="32">
        <f>ROUND(SUM(M28:M31),5)</f>
        <v>400219</v>
      </c>
      <c r="N32" s="28"/>
      <c r="O32" s="32">
        <f>ROUND(SUM(O28:O31),5)</f>
        <v>533682.74</v>
      </c>
      <c r="P32" s="32"/>
      <c r="Q32" s="32">
        <f>ROUND(SUM(Q28:Q31),5)</f>
        <v>606026.82999999996</v>
      </c>
      <c r="R32" s="32"/>
      <c r="S32" s="12">
        <f>ROUND(SUM(S28:S31),5)</f>
        <v>310082.71999999997</v>
      </c>
      <c r="T32" s="11"/>
      <c r="U32" s="11"/>
      <c r="V32" s="9"/>
      <c r="W32" s="12">
        <f>ROUND(SUM(W28:W31),5)</f>
        <v>262683.84000000003</v>
      </c>
      <c r="X32" s="9"/>
      <c r="Y32" s="12">
        <f>ROUND(SUM(Y28:Y31),5)</f>
        <v>371500</v>
      </c>
      <c r="AA32" s="12">
        <f>ROUND(SUM(AA28:AA31),5)</f>
        <v>355000</v>
      </c>
      <c r="AC32" s="32">
        <f t="shared" ref="AC32:AE32" si="8">ROUND(SUM(AC28:AC31),5)</f>
        <v>456148.85800000001</v>
      </c>
      <c r="AD32" s="32">
        <f t="shared" si="8"/>
        <v>613373.82999999996</v>
      </c>
      <c r="AE32" s="32">
        <f t="shared" si="8"/>
        <v>297930.57</v>
      </c>
      <c r="AG32" s="32">
        <f t="shared" ref="AG32:AI32" si="9">ROUND(SUM(AG28:AG31),5)</f>
        <v>-193465.01800000001</v>
      </c>
      <c r="AH32" s="32">
        <f t="shared" si="9"/>
        <v>-350689.99</v>
      </c>
      <c r="AI32" s="32">
        <f t="shared" si="9"/>
        <v>-35246.730000000003</v>
      </c>
      <c r="AK32" s="32"/>
      <c r="AL32" s="32"/>
      <c r="AM32" s="32"/>
    </row>
    <row r="33" spans="1:39" s="1" customFormat="1" ht="11.25" customHeight="1" x14ac:dyDescent="0.2">
      <c r="A33" s="26"/>
      <c r="B33" s="26"/>
      <c r="C33" s="26"/>
      <c r="D33" s="26"/>
      <c r="E33" s="26" t="s">
        <v>49</v>
      </c>
      <c r="F33" s="26"/>
      <c r="G33" s="26"/>
      <c r="H33" s="28"/>
      <c r="I33" s="28">
        <f>ROUND(I15+I22+I27+I32,5)</f>
        <v>1388523</v>
      </c>
      <c r="J33" s="28"/>
      <c r="K33" s="28">
        <f>ROUND(K15+K22+K27+K32,5)</f>
        <v>1651436</v>
      </c>
      <c r="L33" s="28"/>
      <c r="M33" s="28">
        <f>ROUND(M15+M22+M27+M32,5)</f>
        <v>1587845</v>
      </c>
      <c r="N33" s="28"/>
      <c r="O33" s="28">
        <f>ROUND(O15+O22+O27+O32,5)</f>
        <v>1646124.38</v>
      </c>
      <c r="P33" s="28"/>
      <c r="Q33" s="28">
        <f>ROUND(Q15+Q22+Q27+Q32,5)</f>
        <v>1807909.42</v>
      </c>
      <c r="R33" s="28"/>
      <c r="S33" s="9">
        <f>ROUND(S15+S22+S27+S32,5)</f>
        <v>1569537.98</v>
      </c>
      <c r="T33" s="9"/>
      <c r="U33" s="9"/>
      <c r="V33" s="9"/>
      <c r="W33" s="9">
        <f>ROUND(W15+W22+W27+W32,5)</f>
        <v>1448905.22</v>
      </c>
      <c r="X33" s="9"/>
      <c r="Y33" s="9">
        <f>ROUND(Y15+Y22+Y27+Y32,5)</f>
        <v>1900000</v>
      </c>
      <c r="AA33" s="9">
        <f>ROUND(AA15+AA22+AA27+AA32,5)</f>
        <v>1883000</v>
      </c>
      <c r="AC33" s="28">
        <f t="shared" ref="AC33:AE33" si="10">ROUND(AC15+AC22+AC27+AC32,5)</f>
        <v>1652570.5560000001</v>
      </c>
      <c r="AD33" s="28">
        <f t="shared" si="10"/>
        <v>2022207.44</v>
      </c>
      <c r="AE33" s="28">
        <f t="shared" si="10"/>
        <v>1260179.58</v>
      </c>
      <c r="AG33" s="28">
        <f t="shared" ref="AG33:AI33" si="11">ROUND(AG15+AG22+AG27+AG32,5)</f>
        <v>-203665.33600000001</v>
      </c>
      <c r="AH33" s="28">
        <f t="shared" si="11"/>
        <v>-573302.22</v>
      </c>
      <c r="AI33" s="28">
        <f t="shared" si="11"/>
        <v>188725.64</v>
      </c>
      <c r="AK33" s="28"/>
      <c r="AL33" s="28"/>
      <c r="AM33" s="28"/>
    </row>
    <row r="34" spans="1:39" s="1" customFormat="1" ht="11.25" customHeight="1" x14ac:dyDescent="0.2">
      <c r="A34" s="26"/>
      <c r="B34" s="26"/>
      <c r="C34" s="26"/>
      <c r="D34" s="26"/>
      <c r="E34" s="26" t="s">
        <v>50</v>
      </c>
      <c r="F34" s="26"/>
      <c r="G34" s="26"/>
      <c r="H34" s="28"/>
      <c r="I34" s="28"/>
      <c r="J34" s="28"/>
      <c r="K34" s="28"/>
      <c r="L34" s="28"/>
      <c r="M34" s="28"/>
      <c r="N34" s="28"/>
      <c r="O34" s="28"/>
      <c r="P34" s="28"/>
      <c r="Q34" s="28"/>
      <c r="R34" s="28"/>
      <c r="S34" s="9"/>
      <c r="T34" s="9"/>
      <c r="U34" s="9"/>
      <c r="V34" s="9"/>
      <c r="W34" s="9"/>
      <c r="X34" s="9"/>
      <c r="Y34" s="9"/>
      <c r="AA34" s="9"/>
      <c r="AC34" s="28"/>
      <c r="AD34" s="28"/>
      <c r="AE34" s="28"/>
      <c r="AG34" s="28"/>
      <c r="AH34" s="28"/>
      <c r="AI34" s="28"/>
      <c r="AK34" s="28"/>
      <c r="AL34" s="28"/>
      <c r="AM34" s="28"/>
    </row>
    <row r="35" spans="1:39" s="1" customFormat="1" ht="11.25" customHeight="1" x14ac:dyDescent="0.2">
      <c r="A35" s="26"/>
      <c r="B35" s="26"/>
      <c r="C35" s="26"/>
      <c r="D35" s="26"/>
      <c r="E35" s="26"/>
      <c r="F35" s="26" t="s">
        <v>51</v>
      </c>
      <c r="G35" s="26"/>
      <c r="H35" s="28"/>
      <c r="I35" s="28"/>
      <c r="J35" s="28"/>
      <c r="K35" s="28"/>
      <c r="L35" s="28"/>
      <c r="M35" s="28"/>
      <c r="N35" s="28"/>
      <c r="O35" s="28"/>
      <c r="P35" s="28"/>
      <c r="Q35" s="28"/>
      <c r="R35" s="28"/>
      <c r="S35" s="9"/>
      <c r="T35" s="9"/>
      <c r="U35" s="9"/>
      <c r="V35" s="9"/>
      <c r="W35" s="9"/>
      <c r="X35" s="9"/>
      <c r="Y35" s="9"/>
      <c r="AA35" s="9"/>
      <c r="AC35" s="28"/>
      <c r="AD35" s="28"/>
      <c r="AE35" s="28"/>
      <c r="AG35" s="28"/>
      <c r="AH35" s="28"/>
      <c r="AI35" s="28"/>
      <c r="AK35" s="28"/>
      <c r="AL35" s="28"/>
      <c r="AM35" s="28"/>
    </row>
    <row r="36" spans="1:39" s="1" customFormat="1" ht="11.25" customHeight="1" x14ac:dyDescent="0.2">
      <c r="A36" s="26"/>
      <c r="B36" s="26"/>
      <c r="C36" s="26"/>
      <c r="D36" s="26"/>
      <c r="E36" s="26"/>
      <c r="F36" s="26"/>
      <c r="G36" s="30" t="s">
        <v>52</v>
      </c>
      <c r="H36" s="28"/>
      <c r="I36" s="28">
        <v>284400</v>
      </c>
      <c r="J36" s="28"/>
      <c r="K36" s="28">
        <v>254894</v>
      </c>
      <c r="L36" s="28"/>
      <c r="M36" s="28">
        <v>246030</v>
      </c>
      <c r="N36" s="28"/>
      <c r="O36" s="28">
        <v>256491.94</v>
      </c>
      <c r="P36" s="28"/>
      <c r="Q36" s="28">
        <v>221361.87</v>
      </c>
      <c r="R36" s="28"/>
      <c r="S36" s="9">
        <v>245494.38</v>
      </c>
      <c r="T36" s="9"/>
      <c r="U36" s="9"/>
      <c r="V36" s="9"/>
      <c r="W36" s="9">
        <v>107688.32000000001</v>
      </c>
      <c r="X36" s="9"/>
      <c r="Y36" s="9">
        <v>250000</v>
      </c>
      <c r="AA36" s="9">
        <v>256000</v>
      </c>
      <c r="AC36" s="28">
        <f>AVERAGE(K36:S36)</f>
        <v>244854.43799999999</v>
      </c>
      <c r="AD36" s="28">
        <f>MAX(K36:S36)</f>
        <v>256491.94</v>
      </c>
      <c r="AE36" s="28">
        <f>MIN(K36:S36)</f>
        <v>221361.87</v>
      </c>
      <c r="AG36" s="28">
        <f>+W36-AC36</f>
        <v>-137166.11799999999</v>
      </c>
      <c r="AH36" s="28">
        <f>+W36-AD36</f>
        <v>-148803.62</v>
      </c>
      <c r="AI36" s="28">
        <f>+W36-AE36</f>
        <v>-113673.54999999999</v>
      </c>
      <c r="AK36" s="28">
        <f>+Y36-AC36</f>
        <v>5145.5620000000054</v>
      </c>
      <c r="AL36" s="28">
        <f>+Y36-AD36</f>
        <v>-6491.9400000000023</v>
      </c>
      <c r="AM36" s="28">
        <f>+Y36-AE36</f>
        <v>28638.130000000005</v>
      </c>
    </row>
    <row r="37" spans="1:39" s="1" customFormat="1" ht="11.25" customHeight="1" x14ac:dyDescent="0.2">
      <c r="A37" s="26"/>
      <c r="B37" s="26"/>
      <c r="C37" s="26"/>
      <c r="D37" s="26"/>
      <c r="E37" s="26"/>
      <c r="F37" s="26"/>
      <c r="G37" s="26" t="s">
        <v>53</v>
      </c>
      <c r="H37" s="28"/>
      <c r="I37" s="28">
        <v>30680</v>
      </c>
      <c r="J37" s="28"/>
      <c r="K37" s="28">
        <v>33981</v>
      </c>
      <c r="L37" s="28"/>
      <c r="M37" s="28">
        <v>22642</v>
      </c>
      <c r="N37" s="28"/>
      <c r="O37" s="28">
        <v>8837.2199999999993</v>
      </c>
      <c r="P37" s="28"/>
      <c r="Q37" s="28">
        <v>23996.09</v>
      </c>
      <c r="R37" s="28"/>
      <c r="S37" s="9">
        <v>6911.71</v>
      </c>
      <c r="T37" s="9"/>
      <c r="U37" s="9"/>
      <c r="V37" s="9"/>
      <c r="W37" s="9">
        <v>4161.84</v>
      </c>
      <c r="X37" s="9"/>
      <c r="Y37" s="9">
        <v>8000</v>
      </c>
      <c r="AA37" s="9">
        <v>0</v>
      </c>
      <c r="AC37" s="28">
        <f>AVERAGE(K37:S37)</f>
        <v>19273.603999999999</v>
      </c>
      <c r="AD37" s="28">
        <f>MAX(K37:S37)</f>
        <v>33981</v>
      </c>
      <c r="AE37" s="28">
        <f>MIN(K37:S37)</f>
        <v>6911.71</v>
      </c>
      <c r="AG37" s="28">
        <f>+W37-AC37</f>
        <v>-15111.763999999999</v>
      </c>
      <c r="AH37" s="28">
        <f>+W37-AD37</f>
        <v>-29819.16</v>
      </c>
      <c r="AI37" s="28">
        <f>+W37-AE37</f>
        <v>-2749.87</v>
      </c>
      <c r="AK37" s="28">
        <f>+Y37-AC37</f>
        <v>-11273.603999999999</v>
      </c>
      <c r="AL37" s="28">
        <f>+Y37-AD37</f>
        <v>-25981</v>
      </c>
      <c r="AM37" s="28">
        <f>+Y37-AE37</f>
        <v>1088.29</v>
      </c>
    </row>
    <row r="38" spans="1:39" s="1" customFormat="1" ht="12" customHeight="1" thickBot="1" x14ac:dyDescent="0.25">
      <c r="A38" s="26"/>
      <c r="B38" s="26"/>
      <c r="C38" s="26"/>
      <c r="D38" s="26"/>
      <c r="E38" s="26"/>
      <c r="F38" s="26"/>
      <c r="G38" s="30" t="s">
        <v>54</v>
      </c>
      <c r="H38" s="28"/>
      <c r="I38" s="33">
        <v>2790</v>
      </c>
      <c r="J38" s="28"/>
      <c r="K38" s="33">
        <v>1820</v>
      </c>
      <c r="L38" s="28"/>
      <c r="M38" s="33">
        <v>30</v>
      </c>
      <c r="N38" s="28"/>
      <c r="O38" s="33">
        <v>0</v>
      </c>
      <c r="P38" s="33"/>
      <c r="Q38" s="33">
        <v>0</v>
      </c>
      <c r="R38" s="33"/>
      <c r="S38" s="14">
        <v>0</v>
      </c>
      <c r="T38" s="11"/>
      <c r="U38" s="11"/>
      <c r="V38" s="9"/>
      <c r="W38" s="14">
        <v>0</v>
      </c>
      <c r="X38" s="9"/>
      <c r="Y38" s="14">
        <v>0</v>
      </c>
      <c r="AA38" s="14">
        <v>650</v>
      </c>
      <c r="AC38" s="33">
        <f>AVERAGE(K38:S38)</f>
        <v>370</v>
      </c>
      <c r="AD38" s="33">
        <f>MAX(K38:S38)</f>
        <v>1820</v>
      </c>
      <c r="AE38" s="33">
        <f>MIN(K38:S38)</f>
        <v>0</v>
      </c>
      <c r="AG38" s="33">
        <f>+W38-AC38</f>
        <v>-370</v>
      </c>
      <c r="AH38" s="33">
        <f>+W38-AD38</f>
        <v>-1820</v>
      </c>
      <c r="AI38" s="33">
        <f>+W38-AE38</f>
        <v>0</v>
      </c>
      <c r="AK38" s="33">
        <f>+Y38-AC38</f>
        <v>-370</v>
      </c>
      <c r="AL38" s="33">
        <f>+Y38-AD38</f>
        <v>-1820</v>
      </c>
      <c r="AM38" s="33">
        <f>+Y38-AE38</f>
        <v>0</v>
      </c>
    </row>
    <row r="39" spans="1:39" s="1" customFormat="1" ht="11.25" customHeight="1" x14ac:dyDescent="0.2">
      <c r="A39" s="26"/>
      <c r="B39" s="26"/>
      <c r="C39" s="26"/>
      <c r="D39" s="26"/>
      <c r="E39" s="26"/>
      <c r="F39" s="26" t="s">
        <v>55</v>
      </c>
      <c r="G39" s="26"/>
      <c r="H39" s="28"/>
      <c r="I39" s="28">
        <f>ROUND(SUM(I35:I38),5)</f>
        <v>317870</v>
      </c>
      <c r="J39" s="28"/>
      <c r="K39" s="28">
        <f>ROUND(SUM(K35:K38),5)</f>
        <v>290695</v>
      </c>
      <c r="L39" s="28"/>
      <c r="M39" s="28">
        <f>ROUND(SUM(M35:M38),5)</f>
        <v>268702</v>
      </c>
      <c r="N39" s="28"/>
      <c r="O39" s="28">
        <f>ROUND(SUM(O35:O38),5)</f>
        <v>265329.15999999997</v>
      </c>
      <c r="P39" s="28"/>
      <c r="Q39" s="28">
        <f>ROUND(SUM(Q35:Q38),5)</f>
        <v>245357.96</v>
      </c>
      <c r="R39" s="28"/>
      <c r="S39" s="9">
        <f>ROUND(SUM(S35:S38),5)</f>
        <v>252406.09</v>
      </c>
      <c r="T39" s="9"/>
      <c r="U39" s="9"/>
      <c r="V39" s="9"/>
      <c r="W39" s="9">
        <f>ROUND(SUM(W35:W38),5)</f>
        <v>111850.16</v>
      </c>
      <c r="X39" s="9"/>
      <c r="Y39" s="9">
        <f>ROUND(SUM(Y35:Y38),5)</f>
        <v>258000</v>
      </c>
      <c r="AA39" s="9">
        <f>ROUND(SUM(AA35:AA38),5)</f>
        <v>256650</v>
      </c>
      <c r="AC39" s="28">
        <f t="shared" ref="AC39:AE39" si="12">ROUND(SUM(AC35:AC38),5)</f>
        <v>264498.04200000002</v>
      </c>
      <c r="AD39" s="28">
        <f t="shared" si="12"/>
        <v>292292.94</v>
      </c>
      <c r="AE39" s="28">
        <f t="shared" si="12"/>
        <v>228273.58</v>
      </c>
      <c r="AG39" s="28">
        <f t="shared" ref="AG39:AI39" si="13">ROUND(SUM(AG35:AG38),5)</f>
        <v>-152647.88200000001</v>
      </c>
      <c r="AH39" s="28">
        <f t="shared" si="13"/>
        <v>-180442.78</v>
      </c>
      <c r="AI39" s="28">
        <f t="shared" si="13"/>
        <v>-116423.42</v>
      </c>
      <c r="AK39" s="28"/>
      <c r="AL39" s="28"/>
      <c r="AM39" s="28"/>
    </row>
    <row r="40" spans="1:39" s="1" customFormat="1" ht="11.25" customHeight="1" x14ac:dyDescent="0.2">
      <c r="A40" s="26"/>
      <c r="B40" s="26"/>
      <c r="C40" s="26"/>
      <c r="D40" s="26"/>
      <c r="E40" s="26"/>
      <c r="F40" s="26" t="s">
        <v>56</v>
      </c>
      <c r="G40" s="26"/>
      <c r="H40" s="28"/>
      <c r="I40" s="28"/>
      <c r="J40" s="28"/>
      <c r="K40" s="28"/>
      <c r="L40" s="28"/>
      <c r="M40" s="28"/>
      <c r="N40" s="28"/>
      <c r="O40" s="28"/>
      <c r="P40" s="28"/>
      <c r="Q40" s="28"/>
      <c r="R40" s="28"/>
      <c r="S40" s="9"/>
      <c r="T40" s="9"/>
      <c r="U40" s="9"/>
      <c r="V40" s="9"/>
      <c r="W40" s="9"/>
      <c r="X40" s="9"/>
      <c r="Y40" s="9"/>
      <c r="AA40" s="9"/>
      <c r="AC40" s="28"/>
      <c r="AD40" s="28"/>
      <c r="AE40" s="28"/>
      <c r="AG40" s="28"/>
      <c r="AH40" s="28"/>
      <c r="AI40" s="28"/>
      <c r="AK40" s="28"/>
      <c r="AL40" s="28"/>
      <c r="AM40" s="28"/>
    </row>
    <row r="41" spans="1:39" s="1" customFormat="1" ht="11.25" customHeight="1" x14ac:dyDescent="0.2">
      <c r="A41" s="26"/>
      <c r="B41" s="26"/>
      <c r="C41" s="26"/>
      <c r="D41" s="26"/>
      <c r="E41" s="26"/>
      <c r="F41" s="26"/>
      <c r="G41" s="30" t="s">
        <v>57</v>
      </c>
      <c r="H41" s="28"/>
      <c r="I41" s="28">
        <v>95754</v>
      </c>
      <c r="J41" s="28"/>
      <c r="K41" s="28">
        <v>89658</v>
      </c>
      <c r="L41" s="28"/>
      <c r="M41" s="28">
        <v>89975</v>
      </c>
      <c r="N41" s="28"/>
      <c r="O41" s="28">
        <v>80857.58</v>
      </c>
      <c r="P41" s="28"/>
      <c r="Q41" s="28">
        <v>69290.350000000006</v>
      </c>
      <c r="R41" s="28"/>
      <c r="S41" s="9">
        <v>50464.67</v>
      </c>
      <c r="T41" s="9"/>
      <c r="U41" s="9"/>
      <c r="V41" s="9"/>
      <c r="W41" s="8">
        <v>49468.3</v>
      </c>
      <c r="X41" s="9"/>
      <c r="Y41" s="9">
        <v>70000</v>
      </c>
      <c r="AA41" s="9">
        <v>70000</v>
      </c>
      <c r="AC41" s="28">
        <f t="shared" ref="AC41:AC46" si="14">AVERAGE(K41:S41)</f>
        <v>76049.12000000001</v>
      </c>
      <c r="AD41" s="28">
        <f t="shared" ref="AD41:AD46" si="15">MAX(K41:S41)</f>
        <v>89975</v>
      </c>
      <c r="AE41" s="28">
        <f t="shared" ref="AE41:AE46" si="16">MIN(K41:S41)</f>
        <v>50464.67</v>
      </c>
      <c r="AG41" s="28">
        <f t="shared" ref="AG41:AG46" si="17">+W41-AC41</f>
        <v>-26580.820000000007</v>
      </c>
      <c r="AH41" s="28">
        <f t="shared" ref="AH41:AH46" si="18">+W41-AD41</f>
        <v>-40506.699999999997</v>
      </c>
      <c r="AI41" s="28">
        <f t="shared" ref="AI41:AI46" si="19">+W41-AE41</f>
        <v>-996.36999999999534</v>
      </c>
      <c r="AK41" s="28">
        <f t="shared" ref="AK41:AK46" si="20">+Y41-AC41</f>
        <v>-6049.1200000000099</v>
      </c>
      <c r="AL41" s="28">
        <f t="shared" ref="AL41:AL46" si="21">+Y41-AD41</f>
        <v>-19975</v>
      </c>
      <c r="AM41" s="28">
        <f t="shared" ref="AM41:AM46" si="22">+Y41-AE41</f>
        <v>19535.330000000002</v>
      </c>
    </row>
    <row r="42" spans="1:39" s="1" customFormat="1" ht="11.25" customHeight="1" x14ac:dyDescent="0.2">
      <c r="A42" s="26"/>
      <c r="B42" s="26"/>
      <c r="C42" s="26"/>
      <c r="D42" s="26"/>
      <c r="E42" s="26"/>
      <c r="F42" s="26"/>
      <c r="G42" s="30" t="s">
        <v>58</v>
      </c>
      <c r="H42" s="28"/>
      <c r="I42" s="28">
        <v>21087</v>
      </c>
      <c r="J42" s="28"/>
      <c r="K42" s="28">
        <v>17438</v>
      </c>
      <c r="L42" s="28"/>
      <c r="M42" s="28">
        <v>40343</v>
      </c>
      <c r="N42" s="28"/>
      <c r="O42" s="28">
        <v>19912.830000000002</v>
      </c>
      <c r="P42" s="28"/>
      <c r="Q42" s="28">
        <v>13208.75</v>
      </c>
      <c r="R42" s="28"/>
      <c r="S42" s="9">
        <v>9236.32</v>
      </c>
      <c r="T42" s="9"/>
      <c r="U42" s="9"/>
      <c r="V42" s="9"/>
      <c r="W42" s="8">
        <v>8370.09</v>
      </c>
      <c r="X42" s="9"/>
      <c r="Y42" s="9">
        <v>15000</v>
      </c>
      <c r="AA42" s="9">
        <v>15000</v>
      </c>
      <c r="AC42" s="28">
        <f t="shared" si="14"/>
        <v>20027.78</v>
      </c>
      <c r="AD42" s="28">
        <f t="shared" si="15"/>
        <v>40343</v>
      </c>
      <c r="AE42" s="28">
        <f t="shared" si="16"/>
        <v>9236.32</v>
      </c>
      <c r="AG42" s="28">
        <f t="shared" si="17"/>
        <v>-11657.689999999999</v>
      </c>
      <c r="AH42" s="28">
        <f t="shared" si="18"/>
        <v>-31972.91</v>
      </c>
      <c r="AI42" s="28">
        <f t="shared" si="19"/>
        <v>-866.22999999999956</v>
      </c>
      <c r="AK42" s="28">
        <f t="shared" si="20"/>
        <v>-5027.7799999999988</v>
      </c>
      <c r="AL42" s="28">
        <f t="shared" si="21"/>
        <v>-25343</v>
      </c>
      <c r="AM42" s="28">
        <f t="shared" si="22"/>
        <v>5763.68</v>
      </c>
    </row>
    <row r="43" spans="1:39" s="1" customFormat="1" ht="11.25" customHeight="1" x14ac:dyDescent="0.2">
      <c r="A43" s="26"/>
      <c r="B43" s="26"/>
      <c r="C43" s="26"/>
      <c r="D43" s="26"/>
      <c r="E43" s="26"/>
      <c r="F43" s="26"/>
      <c r="G43" s="30" t="s">
        <v>59</v>
      </c>
      <c r="H43" s="28"/>
      <c r="I43" s="28">
        <v>6750</v>
      </c>
      <c r="J43" s="28"/>
      <c r="K43" s="28">
        <v>5893</v>
      </c>
      <c r="L43" s="28"/>
      <c r="M43" s="28">
        <v>3330</v>
      </c>
      <c r="N43" s="28"/>
      <c r="O43" s="28">
        <v>1580</v>
      </c>
      <c r="P43" s="28"/>
      <c r="Q43" s="28">
        <v>900</v>
      </c>
      <c r="R43" s="28"/>
      <c r="S43" s="9">
        <v>540</v>
      </c>
      <c r="T43" s="9"/>
      <c r="U43" s="9"/>
      <c r="V43" s="9"/>
      <c r="W43" s="8">
        <v>0</v>
      </c>
      <c r="X43" s="9"/>
      <c r="Y43" s="9">
        <v>750</v>
      </c>
      <c r="AA43" s="9">
        <v>0</v>
      </c>
      <c r="AC43" s="28">
        <f t="shared" si="14"/>
        <v>2448.6</v>
      </c>
      <c r="AD43" s="28">
        <f t="shared" si="15"/>
        <v>5893</v>
      </c>
      <c r="AE43" s="28">
        <f t="shared" si="16"/>
        <v>540</v>
      </c>
      <c r="AG43" s="28">
        <f t="shared" si="17"/>
        <v>-2448.6</v>
      </c>
      <c r="AH43" s="28">
        <f t="shared" si="18"/>
        <v>-5893</v>
      </c>
      <c r="AI43" s="28">
        <f t="shared" si="19"/>
        <v>-540</v>
      </c>
      <c r="AK43" s="28">
        <f t="shared" si="20"/>
        <v>-1698.6</v>
      </c>
      <c r="AL43" s="28">
        <f t="shared" si="21"/>
        <v>-5143</v>
      </c>
      <c r="AM43" s="28">
        <f t="shared" si="22"/>
        <v>210</v>
      </c>
    </row>
    <row r="44" spans="1:39" s="1" customFormat="1" ht="11.25" customHeight="1" x14ac:dyDescent="0.2">
      <c r="A44" s="26"/>
      <c r="B44" s="26"/>
      <c r="C44" s="26"/>
      <c r="D44" s="26"/>
      <c r="E44" s="26"/>
      <c r="F44" s="26"/>
      <c r="G44" s="26" t="s">
        <v>60</v>
      </c>
      <c r="H44" s="28"/>
      <c r="I44" s="28">
        <v>108</v>
      </c>
      <c r="J44" s="28"/>
      <c r="K44" s="28">
        <v>488</v>
      </c>
      <c r="L44" s="28"/>
      <c r="M44" s="28">
        <v>1840</v>
      </c>
      <c r="N44" s="28"/>
      <c r="O44" s="28">
        <v>6174.9</v>
      </c>
      <c r="P44" s="28"/>
      <c r="Q44" s="28">
        <v>474.12</v>
      </c>
      <c r="R44" s="28"/>
      <c r="S44" s="9">
        <v>1674.17</v>
      </c>
      <c r="T44" s="9"/>
      <c r="U44" s="9"/>
      <c r="V44" s="9"/>
      <c r="W44" s="8">
        <v>1388.27</v>
      </c>
      <c r="X44" s="9"/>
      <c r="Y44" s="9">
        <v>500</v>
      </c>
      <c r="AA44" s="9">
        <v>750</v>
      </c>
      <c r="AC44" s="28">
        <f t="shared" si="14"/>
        <v>2130.2380000000003</v>
      </c>
      <c r="AD44" s="28">
        <f t="shared" si="15"/>
        <v>6174.9</v>
      </c>
      <c r="AE44" s="28">
        <f t="shared" si="16"/>
        <v>474.12</v>
      </c>
      <c r="AG44" s="28">
        <f t="shared" si="17"/>
        <v>-741.9680000000003</v>
      </c>
      <c r="AH44" s="28">
        <f t="shared" si="18"/>
        <v>-4786.6299999999992</v>
      </c>
      <c r="AI44" s="28">
        <f t="shared" si="19"/>
        <v>914.15</v>
      </c>
      <c r="AK44" s="28">
        <f t="shared" si="20"/>
        <v>-1630.2380000000003</v>
      </c>
      <c r="AL44" s="28">
        <f t="shared" si="21"/>
        <v>-5674.9</v>
      </c>
      <c r="AM44" s="28">
        <f t="shared" si="22"/>
        <v>25.879999999999995</v>
      </c>
    </row>
    <row r="45" spans="1:39" s="1" customFormat="1" ht="11.25" customHeight="1" x14ac:dyDescent="0.2">
      <c r="A45" s="26"/>
      <c r="B45" s="26"/>
      <c r="C45" s="26"/>
      <c r="D45" s="26"/>
      <c r="E45" s="26"/>
      <c r="F45" s="26"/>
      <c r="G45" s="26" t="s">
        <v>61</v>
      </c>
      <c r="H45" s="28"/>
      <c r="I45" s="28"/>
      <c r="J45" s="28"/>
      <c r="K45" s="28"/>
      <c r="L45" s="28"/>
      <c r="M45" s="28">
        <v>937</v>
      </c>
      <c r="N45" s="28"/>
      <c r="O45" s="28">
        <v>1171.75</v>
      </c>
      <c r="P45" s="28"/>
      <c r="Q45" s="28">
        <v>2385.5</v>
      </c>
      <c r="R45" s="28"/>
      <c r="S45" s="9">
        <v>1319.85</v>
      </c>
      <c r="T45" s="9"/>
      <c r="U45" s="9"/>
      <c r="V45" s="9"/>
      <c r="W45" s="8">
        <v>1675.5</v>
      </c>
      <c r="X45" s="9"/>
      <c r="Y45" s="9">
        <v>1200</v>
      </c>
      <c r="AA45" s="9">
        <v>2500</v>
      </c>
      <c r="AC45" s="28">
        <f t="shared" si="14"/>
        <v>1453.5250000000001</v>
      </c>
      <c r="AD45" s="28">
        <f t="shared" si="15"/>
        <v>2385.5</v>
      </c>
      <c r="AE45" s="28">
        <f t="shared" si="16"/>
        <v>937</v>
      </c>
      <c r="AG45" s="28">
        <f t="shared" si="17"/>
        <v>221.97499999999991</v>
      </c>
      <c r="AH45" s="28">
        <f t="shared" si="18"/>
        <v>-710</v>
      </c>
      <c r="AI45" s="28">
        <f t="shared" si="19"/>
        <v>738.5</v>
      </c>
      <c r="AK45" s="28">
        <f t="shared" si="20"/>
        <v>-253.52500000000009</v>
      </c>
      <c r="AL45" s="28">
        <f t="shared" si="21"/>
        <v>-1185.5</v>
      </c>
      <c r="AM45" s="28">
        <f t="shared" si="22"/>
        <v>263</v>
      </c>
    </row>
    <row r="46" spans="1:39" s="1" customFormat="1" ht="12" customHeight="1" thickBot="1" x14ac:dyDescent="0.25">
      <c r="A46" s="26"/>
      <c r="B46" s="26"/>
      <c r="C46" s="26"/>
      <c r="D46" s="26"/>
      <c r="E46" s="26"/>
      <c r="F46" s="26"/>
      <c r="G46" s="26" t="s">
        <v>62</v>
      </c>
      <c r="H46" s="28"/>
      <c r="I46" s="28">
        <v>4043</v>
      </c>
      <c r="J46" s="28"/>
      <c r="K46" s="28">
        <v>2342</v>
      </c>
      <c r="L46" s="28"/>
      <c r="M46" s="28">
        <v>3169</v>
      </c>
      <c r="N46" s="28"/>
      <c r="O46" s="28">
        <v>2061.34</v>
      </c>
      <c r="P46" s="28"/>
      <c r="Q46" s="28">
        <v>3106.5</v>
      </c>
      <c r="R46" s="28"/>
      <c r="S46" s="9">
        <v>1686.4</v>
      </c>
      <c r="T46" s="9"/>
      <c r="U46" s="9"/>
      <c r="V46" s="9"/>
      <c r="W46" s="10">
        <v>2176.23</v>
      </c>
      <c r="X46" s="9"/>
      <c r="Y46" s="9">
        <v>2000</v>
      </c>
      <c r="AA46" s="9"/>
      <c r="AC46" s="28">
        <f t="shared" si="14"/>
        <v>2473.0479999999998</v>
      </c>
      <c r="AD46" s="28">
        <f t="shared" si="15"/>
        <v>3169</v>
      </c>
      <c r="AE46" s="28">
        <f t="shared" si="16"/>
        <v>1686.4</v>
      </c>
      <c r="AG46" s="28">
        <f t="shared" si="17"/>
        <v>-296.81799999999976</v>
      </c>
      <c r="AH46" s="28">
        <f t="shared" si="18"/>
        <v>-992.77</v>
      </c>
      <c r="AI46" s="28">
        <f t="shared" si="19"/>
        <v>489.82999999999993</v>
      </c>
      <c r="AK46" s="28">
        <f t="shared" si="20"/>
        <v>-473.04799999999977</v>
      </c>
      <c r="AL46" s="28">
        <f t="shared" si="21"/>
        <v>-1169</v>
      </c>
      <c r="AM46" s="28">
        <f t="shared" si="22"/>
        <v>313.59999999999991</v>
      </c>
    </row>
    <row r="47" spans="1:39" s="1" customFormat="1" ht="12" customHeight="1" thickBot="1" x14ac:dyDescent="0.25">
      <c r="A47" s="26"/>
      <c r="B47" s="26"/>
      <c r="C47" s="26"/>
      <c r="D47" s="26"/>
      <c r="E47" s="26"/>
      <c r="F47" s="26" t="s">
        <v>63</v>
      </c>
      <c r="G47" s="26"/>
      <c r="H47" s="28"/>
      <c r="I47" s="32">
        <f>ROUND(SUM(I40:I46),5)</f>
        <v>127742</v>
      </c>
      <c r="J47" s="28"/>
      <c r="K47" s="32">
        <f>ROUND(SUM(K40:K46),5)</f>
        <v>115819</v>
      </c>
      <c r="L47" s="28"/>
      <c r="M47" s="32">
        <f>ROUND(SUM(M40:M46),5)</f>
        <v>139594</v>
      </c>
      <c r="N47" s="28"/>
      <c r="O47" s="32">
        <f>ROUND(SUM(O40:O46),5)</f>
        <v>111758.39999999999</v>
      </c>
      <c r="P47" s="32"/>
      <c r="Q47" s="32">
        <f>ROUND(SUM(Q40:Q46),5)</f>
        <v>89365.22</v>
      </c>
      <c r="R47" s="32"/>
      <c r="S47" s="12">
        <f>ROUND(SUM(S40:S46),5)</f>
        <v>64921.41</v>
      </c>
      <c r="T47" s="11"/>
      <c r="U47" s="11"/>
      <c r="V47" s="9"/>
      <c r="W47" s="12">
        <f>ROUND(SUM(W40:W46),5)</f>
        <v>63078.39</v>
      </c>
      <c r="X47" s="9"/>
      <c r="Y47" s="12">
        <f>ROUND(SUM(Y40:Y46),5)</f>
        <v>89450</v>
      </c>
      <c r="AA47" s="12">
        <f>ROUND(SUM(AA40:AA46),5)</f>
        <v>88250</v>
      </c>
      <c r="AC47" s="32">
        <f t="shared" ref="AC47:AE47" si="23">ROUND(SUM(AC40:AC46),5)</f>
        <v>104582.311</v>
      </c>
      <c r="AD47" s="32">
        <f t="shared" si="23"/>
        <v>147940.4</v>
      </c>
      <c r="AE47" s="32">
        <f t="shared" si="23"/>
        <v>63338.51</v>
      </c>
      <c r="AG47" s="32">
        <f t="shared" ref="AG47:AI47" si="24">ROUND(SUM(AG40:AG46),5)</f>
        <v>-41503.921000000002</v>
      </c>
      <c r="AH47" s="32">
        <f t="shared" si="24"/>
        <v>-84862.01</v>
      </c>
      <c r="AI47" s="32">
        <f t="shared" si="24"/>
        <v>-260.12</v>
      </c>
      <c r="AK47" s="32"/>
      <c r="AL47" s="32"/>
      <c r="AM47" s="32"/>
    </row>
    <row r="48" spans="1:39" s="1" customFormat="1" ht="11.25" customHeight="1" x14ac:dyDescent="0.2">
      <c r="A48" s="26"/>
      <c r="B48" s="26"/>
      <c r="C48" s="26"/>
      <c r="D48" s="26"/>
      <c r="E48" s="26" t="s">
        <v>64</v>
      </c>
      <c r="F48" s="26"/>
      <c r="G48" s="26"/>
      <c r="H48" s="28"/>
      <c r="I48" s="28">
        <f>ROUND(I34+I39+I47,5)</f>
        <v>445612</v>
      </c>
      <c r="J48" s="28"/>
      <c r="K48" s="28">
        <f>ROUND(K34+K39+K47,5)</f>
        <v>406514</v>
      </c>
      <c r="L48" s="28"/>
      <c r="M48" s="28">
        <f>ROUND(M34+M39+M47,5)</f>
        <v>408296</v>
      </c>
      <c r="N48" s="28"/>
      <c r="O48" s="28">
        <f>ROUND(O34+O39+O47,5)</f>
        <v>377087.56</v>
      </c>
      <c r="P48" s="28"/>
      <c r="Q48" s="28">
        <f>ROUND(Q34+Q39+Q47,5)</f>
        <v>334723.18</v>
      </c>
      <c r="R48" s="28"/>
      <c r="S48" s="9">
        <f>ROUND(S34+S39+S47,5)</f>
        <v>317327.5</v>
      </c>
      <c r="T48" s="9"/>
      <c r="U48" s="9"/>
      <c r="V48" s="9"/>
      <c r="W48" s="9">
        <f>ROUND(W34+W39+W47,5)</f>
        <v>174928.55</v>
      </c>
      <c r="X48" s="9"/>
      <c r="Y48" s="9">
        <f>ROUND(Y34+Y39+Y47,5)</f>
        <v>347450</v>
      </c>
      <c r="AA48" s="9">
        <f>ROUND(AA34+AA39+AA47,5)</f>
        <v>344900</v>
      </c>
      <c r="AC48" s="28">
        <f>ROUND(AC34+AC39+AC47,5)</f>
        <v>369080.353</v>
      </c>
      <c r="AD48" s="28">
        <f t="shared" ref="AD48:AE48" si="25">ROUND(AD34+AD39+AD47,5)</f>
        <v>440233.34</v>
      </c>
      <c r="AE48" s="28">
        <f t="shared" si="25"/>
        <v>291612.09000000003</v>
      </c>
      <c r="AG48" s="28">
        <f>ROUND(AG34+AG39+AG47,5)</f>
        <v>-194151.80300000001</v>
      </c>
      <c r="AH48" s="28">
        <f t="shared" ref="AH48:AI48" si="26">ROUND(AH34+AH39+AH47,5)</f>
        <v>-265304.78999999998</v>
      </c>
      <c r="AI48" s="28">
        <f t="shared" si="26"/>
        <v>-116683.54</v>
      </c>
      <c r="AK48" s="28"/>
      <c r="AL48" s="28"/>
      <c r="AM48" s="28"/>
    </row>
    <row r="49" spans="1:39" s="1" customFormat="1" ht="11.25" customHeight="1" x14ac:dyDescent="0.2">
      <c r="A49" s="26"/>
      <c r="B49" s="26"/>
      <c r="C49" s="26"/>
      <c r="D49" s="26"/>
      <c r="E49" s="26" t="s">
        <v>65</v>
      </c>
      <c r="F49" s="26"/>
      <c r="G49" s="26"/>
      <c r="H49" s="28"/>
      <c r="I49" s="28"/>
      <c r="J49" s="28"/>
      <c r="K49" s="28"/>
      <c r="L49" s="28"/>
      <c r="M49" s="28"/>
      <c r="N49" s="28"/>
      <c r="O49" s="28"/>
      <c r="P49" s="28"/>
      <c r="Q49" s="28"/>
      <c r="R49" s="28"/>
      <c r="S49" s="9"/>
      <c r="T49" s="9"/>
      <c r="U49" s="9"/>
      <c r="V49" s="9"/>
      <c r="W49" s="9"/>
      <c r="X49" s="9"/>
      <c r="Y49" s="9"/>
      <c r="AA49" s="9"/>
      <c r="AC49" s="28"/>
      <c r="AD49" s="28"/>
      <c r="AE49" s="28"/>
      <c r="AG49" s="28"/>
      <c r="AH49" s="28"/>
      <c r="AI49" s="28"/>
      <c r="AK49" s="28"/>
      <c r="AL49" s="28"/>
      <c r="AM49" s="28"/>
    </row>
    <row r="50" spans="1:39" s="1" customFormat="1" ht="11.25" customHeight="1" x14ac:dyDescent="0.2">
      <c r="A50" s="26"/>
      <c r="B50" s="26"/>
      <c r="C50" s="26"/>
      <c r="D50" s="26"/>
      <c r="E50" s="26"/>
      <c r="F50" s="30" t="s">
        <v>66</v>
      </c>
      <c r="G50" s="26"/>
      <c r="H50" s="28"/>
      <c r="I50" s="28">
        <v>1000</v>
      </c>
      <c r="J50" s="28"/>
      <c r="K50" s="28">
        <v>3000</v>
      </c>
      <c r="L50" s="28"/>
      <c r="M50" s="28">
        <v>2250</v>
      </c>
      <c r="N50" s="28"/>
      <c r="O50" s="28">
        <v>1250</v>
      </c>
      <c r="P50" s="28"/>
      <c r="Q50" s="28">
        <v>4050</v>
      </c>
      <c r="R50" s="28"/>
      <c r="S50" s="9">
        <v>2250</v>
      </c>
      <c r="T50" s="9"/>
      <c r="U50" s="9"/>
      <c r="V50" s="9"/>
      <c r="W50" s="8">
        <v>-500</v>
      </c>
      <c r="X50" s="9"/>
      <c r="Y50" s="9">
        <v>2300</v>
      </c>
      <c r="AA50" s="9">
        <v>1500</v>
      </c>
      <c r="AC50" s="28">
        <f t="shared" ref="AC50:AC59" si="27">AVERAGE(K50:S50)</f>
        <v>2560</v>
      </c>
      <c r="AD50" s="28">
        <f t="shared" ref="AD50:AD59" si="28">MAX(K50:S50)</f>
        <v>4050</v>
      </c>
      <c r="AE50" s="28">
        <f t="shared" ref="AE50:AE59" si="29">MIN(K50:S50)</f>
        <v>1250</v>
      </c>
      <c r="AG50" s="28">
        <f t="shared" ref="AG50:AG59" si="30">+W50-AC50</f>
        <v>-3060</v>
      </c>
      <c r="AH50" s="28">
        <f t="shared" ref="AH50:AH59" si="31">+W50-AD50</f>
        <v>-4550</v>
      </c>
      <c r="AI50" s="28">
        <f t="shared" ref="AI50:AI59" si="32">+W50-AE50</f>
        <v>-1750</v>
      </c>
      <c r="AK50" s="28">
        <f t="shared" ref="AK50:AK59" si="33">+Y50-AC50</f>
        <v>-260</v>
      </c>
      <c r="AL50" s="28">
        <f t="shared" ref="AL50:AL59" si="34">+Y50-AD50</f>
        <v>-1750</v>
      </c>
      <c r="AM50" s="28">
        <f t="shared" ref="AM50:AM59" si="35">+Y50-AE50</f>
        <v>1050</v>
      </c>
    </row>
    <row r="51" spans="1:39" s="1" customFormat="1" ht="11.25" customHeight="1" x14ac:dyDescent="0.2">
      <c r="A51" s="26"/>
      <c r="B51" s="26"/>
      <c r="C51" s="26"/>
      <c r="D51" s="26"/>
      <c r="E51" s="26"/>
      <c r="F51" s="26" t="s">
        <v>67</v>
      </c>
      <c r="G51" s="26"/>
      <c r="H51" s="28"/>
      <c r="I51" s="28">
        <v>4034</v>
      </c>
      <c r="J51" s="28"/>
      <c r="K51" s="28">
        <v>262</v>
      </c>
      <c r="L51" s="28"/>
      <c r="M51" s="28">
        <v>35405</v>
      </c>
      <c r="N51" s="28"/>
      <c r="O51" s="28">
        <v>3448.77</v>
      </c>
      <c r="P51" s="28"/>
      <c r="Q51" s="28">
        <v>443.8</v>
      </c>
      <c r="R51" s="28"/>
      <c r="S51" s="9">
        <v>180876.23</v>
      </c>
      <c r="T51" s="9"/>
      <c r="U51" s="9"/>
      <c r="V51" s="9"/>
      <c r="W51" s="8">
        <v>2300</v>
      </c>
      <c r="X51" s="9"/>
      <c r="Y51" s="9">
        <v>18500</v>
      </c>
      <c r="AA51" s="9"/>
      <c r="AC51" s="28">
        <f t="shared" si="27"/>
        <v>44087.16</v>
      </c>
      <c r="AD51" s="28">
        <f t="shared" si="28"/>
        <v>180876.23</v>
      </c>
      <c r="AE51" s="28">
        <f t="shared" si="29"/>
        <v>262</v>
      </c>
      <c r="AG51" s="28">
        <f t="shared" si="30"/>
        <v>-41787.160000000003</v>
      </c>
      <c r="AH51" s="28">
        <f t="shared" si="31"/>
        <v>-178576.23</v>
      </c>
      <c r="AI51" s="28">
        <f t="shared" si="32"/>
        <v>2038</v>
      </c>
      <c r="AK51" s="28">
        <f t="shared" si="33"/>
        <v>-25587.160000000003</v>
      </c>
      <c r="AL51" s="28">
        <f t="shared" si="34"/>
        <v>-162376.23000000001</v>
      </c>
      <c r="AM51" s="28">
        <f t="shared" si="35"/>
        <v>18238</v>
      </c>
    </row>
    <row r="52" spans="1:39" s="1" customFormat="1" ht="11.25" customHeight="1" x14ac:dyDescent="0.2">
      <c r="A52" s="26"/>
      <c r="B52" s="26"/>
      <c r="C52" s="26"/>
      <c r="D52" s="26"/>
      <c r="E52" s="26"/>
      <c r="F52" s="26" t="s">
        <v>68</v>
      </c>
      <c r="G52" s="26"/>
      <c r="H52" s="28"/>
      <c r="I52" s="28">
        <v>298</v>
      </c>
      <c r="J52" s="28"/>
      <c r="K52" s="28">
        <v>892</v>
      </c>
      <c r="L52" s="28"/>
      <c r="M52" s="28">
        <v>851</v>
      </c>
      <c r="N52" s="28"/>
      <c r="O52" s="28">
        <v>1012.42</v>
      </c>
      <c r="P52" s="28"/>
      <c r="Q52" s="28">
        <v>18109.07</v>
      </c>
      <c r="R52" s="28"/>
      <c r="S52" s="9">
        <v>48299.64</v>
      </c>
      <c r="T52" s="9"/>
      <c r="U52" s="9"/>
      <c r="V52" s="9"/>
      <c r="W52" s="8">
        <v>2266.1799999999998</v>
      </c>
      <c r="X52" s="9"/>
      <c r="Y52" s="9">
        <v>10000</v>
      </c>
      <c r="AA52" s="9">
        <v>2000</v>
      </c>
      <c r="AC52" s="28">
        <f t="shared" si="27"/>
        <v>13832.826000000001</v>
      </c>
      <c r="AD52" s="28">
        <f t="shared" si="28"/>
        <v>48299.64</v>
      </c>
      <c r="AE52" s="28">
        <f t="shared" si="29"/>
        <v>851</v>
      </c>
      <c r="AG52" s="28">
        <f t="shared" si="30"/>
        <v>-11566.646000000001</v>
      </c>
      <c r="AH52" s="28">
        <f t="shared" si="31"/>
        <v>-46033.46</v>
      </c>
      <c r="AI52" s="28">
        <f t="shared" si="32"/>
        <v>1415.1799999999998</v>
      </c>
      <c r="AK52" s="28">
        <f t="shared" si="33"/>
        <v>-3832.8260000000009</v>
      </c>
      <c r="AL52" s="28">
        <f t="shared" si="34"/>
        <v>-38299.64</v>
      </c>
      <c r="AM52" s="28">
        <f t="shared" si="35"/>
        <v>9149</v>
      </c>
    </row>
    <row r="53" spans="1:39" s="1" customFormat="1" ht="11.25" customHeight="1" x14ac:dyDescent="0.2">
      <c r="A53" s="26"/>
      <c r="B53" s="26"/>
      <c r="C53" s="26"/>
      <c r="D53" s="26"/>
      <c r="E53" s="26"/>
      <c r="F53" s="26" t="s">
        <v>69</v>
      </c>
      <c r="G53" s="26"/>
      <c r="H53" s="28"/>
      <c r="I53" s="28">
        <v>21</v>
      </c>
      <c r="J53" s="28"/>
      <c r="K53" s="28">
        <v>82</v>
      </c>
      <c r="L53" s="28"/>
      <c r="M53" s="28">
        <v>133</v>
      </c>
      <c r="N53" s="28"/>
      <c r="O53" s="28">
        <v>59</v>
      </c>
      <c r="P53" s="28"/>
      <c r="Q53" s="28">
        <v>0</v>
      </c>
      <c r="R53" s="28"/>
      <c r="S53" s="9">
        <v>0</v>
      </c>
      <c r="T53" s="9"/>
      <c r="U53" s="9"/>
      <c r="V53" s="9"/>
      <c r="W53" s="9">
        <v>0</v>
      </c>
      <c r="X53" s="9"/>
      <c r="Y53" s="9">
        <v>0</v>
      </c>
      <c r="AA53" s="9">
        <v>0</v>
      </c>
      <c r="AC53" s="28">
        <f t="shared" si="27"/>
        <v>54.8</v>
      </c>
      <c r="AD53" s="28">
        <f t="shared" si="28"/>
        <v>133</v>
      </c>
      <c r="AE53" s="28">
        <f t="shared" si="29"/>
        <v>0</v>
      </c>
      <c r="AG53" s="28">
        <f t="shared" si="30"/>
        <v>-54.8</v>
      </c>
      <c r="AH53" s="28">
        <f t="shared" si="31"/>
        <v>-133</v>
      </c>
      <c r="AI53" s="28">
        <f t="shared" si="32"/>
        <v>0</v>
      </c>
      <c r="AK53" s="28">
        <f t="shared" si="33"/>
        <v>-54.8</v>
      </c>
      <c r="AL53" s="28">
        <f t="shared" si="34"/>
        <v>-133</v>
      </c>
      <c r="AM53" s="28">
        <f t="shared" si="35"/>
        <v>0</v>
      </c>
    </row>
    <row r="54" spans="1:39" s="1" customFormat="1" ht="11.25" customHeight="1" x14ac:dyDescent="0.2">
      <c r="A54" s="26"/>
      <c r="B54" s="26"/>
      <c r="C54" s="26"/>
      <c r="D54" s="26"/>
      <c r="E54" s="26"/>
      <c r="F54" s="26" t="s">
        <v>70</v>
      </c>
      <c r="G54" s="26"/>
      <c r="H54" s="28"/>
      <c r="I54" s="28"/>
      <c r="J54" s="28"/>
      <c r="K54" s="28"/>
      <c r="L54" s="28"/>
      <c r="M54" s="28"/>
      <c r="N54" s="28"/>
      <c r="O54" s="28"/>
      <c r="P54" s="28"/>
      <c r="Q54" s="28">
        <v>57.62</v>
      </c>
      <c r="R54" s="28"/>
      <c r="S54" s="9">
        <v>150</v>
      </c>
      <c r="T54" s="9"/>
      <c r="U54" s="9"/>
      <c r="V54" s="9"/>
      <c r="W54" s="8">
        <v>4000.4</v>
      </c>
      <c r="X54" s="9"/>
      <c r="Y54" s="9">
        <v>0</v>
      </c>
      <c r="AA54" s="9"/>
      <c r="AC54" s="28">
        <f t="shared" si="27"/>
        <v>103.81</v>
      </c>
      <c r="AD54" s="28">
        <f t="shared" si="28"/>
        <v>150</v>
      </c>
      <c r="AE54" s="28">
        <f t="shared" si="29"/>
        <v>57.62</v>
      </c>
      <c r="AG54" s="28">
        <f t="shared" si="30"/>
        <v>3896.59</v>
      </c>
      <c r="AH54" s="28">
        <f t="shared" si="31"/>
        <v>3850.4</v>
      </c>
      <c r="AI54" s="28">
        <f t="shared" si="32"/>
        <v>3942.78</v>
      </c>
      <c r="AK54" s="28">
        <f t="shared" si="33"/>
        <v>-103.81</v>
      </c>
      <c r="AL54" s="28">
        <f t="shared" si="34"/>
        <v>-150</v>
      </c>
      <c r="AM54" s="28">
        <f t="shared" si="35"/>
        <v>-57.62</v>
      </c>
    </row>
    <row r="55" spans="1:39" s="1" customFormat="1" ht="11.25" customHeight="1" x14ac:dyDescent="0.2">
      <c r="A55" s="26"/>
      <c r="B55" s="26"/>
      <c r="C55" s="26"/>
      <c r="D55" s="26"/>
      <c r="E55" s="26"/>
      <c r="F55" s="26" t="s">
        <v>71</v>
      </c>
      <c r="G55" s="26"/>
      <c r="H55" s="28"/>
      <c r="I55" s="28">
        <v>3469</v>
      </c>
      <c r="J55" s="28"/>
      <c r="K55" s="28">
        <v>3440</v>
      </c>
      <c r="L55" s="28"/>
      <c r="M55" s="28"/>
      <c r="N55" s="28"/>
      <c r="O55" s="28"/>
      <c r="P55" s="28"/>
      <c r="Q55" s="28">
        <v>43355</v>
      </c>
      <c r="R55" s="28"/>
      <c r="S55" s="9">
        <v>1500</v>
      </c>
      <c r="T55" s="9"/>
      <c r="U55" s="9"/>
      <c r="V55" s="9"/>
      <c r="W55" s="8">
        <v>250</v>
      </c>
      <c r="X55" s="9"/>
      <c r="Y55" s="9">
        <v>1500</v>
      </c>
      <c r="AA55" s="9">
        <v>0</v>
      </c>
      <c r="AC55" s="28">
        <f t="shared" si="27"/>
        <v>16098.333333333334</v>
      </c>
      <c r="AD55" s="28">
        <f t="shared" si="28"/>
        <v>43355</v>
      </c>
      <c r="AE55" s="28">
        <f t="shared" si="29"/>
        <v>1500</v>
      </c>
      <c r="AG55" s="28">
        <f t="shared" si="30"/>
        <v>-15848.333333333334</v>
      </c>
      <c r="AH55" s="28">
        <f t="shared" si="31"/>
        <v>-43105</v>
      </c>
      <c r="AI55" s="28">
        <f t="shared" si="32"/>
        <v>-1250</v>
      </c>
      <c r="AK55" s="28">
        <f t="shared" si="33"/>
        <v>-14598.333333333334</v>
      </c>
      <c r="AL55" s="28">
        <f t="shared" si="34"/>
        <v>-41855</v>
      </c>
      <c r="AM55" s="28">
        <f t="shared" si="35"/>
        <v>0</v>
      </c>
    </row>
    <row r="56" spans="1:39" s="1" customFormat="1" ht="11.25" customHeight="1" x14ac:dyDescent="0.2">
      <c r="A56" s="26"/>
      <c r="B56" s="26"/>
      <c r="C56" s="26"/>
      <c r="D56" s="26"/>
      <c r="E56" s="26"/>
      <c r="F56" s="26" t="s">
        <v>72</v>
      </c>
      <c r="G56" s="26"/>
      <c r="H56" s="28"/>
      <c r="I56" s="28">
        <v>1156</v>
      </c>
      <c r="J56" s="28"/>
      <c r="K56" s="28">
        <v>1316</v>
      </c>
      <c r="L56" s="28"/>
      <c r="M56" s="28">
        <v>460</v>
      </c>
      <c r="N56" s="28"/>
      <c r="O56" s="28">
        <v>910</v>
      </c>
      <c r="P56" s="28"/>
      <c r="Q56" s="28">
        <v>875</v>
      </c>
      <c r="R56" s="28"/>
      <c r="S56" s="9">
        <v>750</v>
      </c>
      <c r="T56" s="9"/>
      <c r="U56" s="9"/>
      <c r="V56" s="9"/>
      <c r="W56" s="8">
        <v>625</v>
      </c>
      <c r="X56" s="9"/>
      <c r="Y56" s="9">
        <v>800</v>
      </c>
      <c r="AA56" s="9">
        <v>800</v>
      </c>
      <c r="AC56" s="28">
        <f t="shared" si="27"/>
        <v>862.2</v>
      </c>
      <c r="AD56" s="28">
        <f t="shared" si="28"/>
        <v>1316</v>
      </c>
      <c r="AE56" s="28">
        <f t="shared" si="29"/>
        <v>460</v>
      </c>
      <c r="AG56" s="28">
        <f t="shared" si="30"/>
        <v>-237.20000000000005</v>
      </c>
      <c r="AH56" s="28">
        <f t="shared" si="31"/>
        <v>-691</v>
      </c>
      <c r="AI56" s="28">
        <f t="shared" si="32"/>
        <v>165</v>
      </c>
      <c r="AK56" s="28">
        <f t="shared" si="33"/>
        <v>-62.200000000000045</v>
      </c>
      <c r="AL56" s="28">
        <f t="shared" si="34"/>
        <v>-516</v>
      </c>
      <c r="AM56" s="28">
        <f t="shared" si="35"/>
        <v>340</v>
      </c>
    </row>
    <row r="57" spans="1:39" s="1" customFormat="1" ht="11.25" customHeight="1" x14ac:dyDescent="0.2">
      <c r="A57" s="26"/>
      <c r="B57" s="26"/>
      <c r="C57" s="26"/>
      <c r="D57" s="26"/>
      <c r="E57" s="26"/>
      <c r="F57" s="26" t="s">
        <v>73</v>
      </c>
      <c r="G57" s="26"/>
      <c r="H57" s="28"/>
      <c r="I57" s="28">
        <v>42278</v>
      </c>
      <c r="J57" s="28"/>
      <c r="K57" s="28">
        <v>39356</v>
      </c>
      <c r="L57" s="28"/>
      <c r="M57" s="28">
        <v>30475</v>
      </c>
      <c r="N57" s="28"/>
      <c r="O57" s="28">
        <v>30715</v>
      </c>
      <c r="P57" s="28"/>
      <c r="Q57" s="28">
        <v>34924.5</v>
      </c>
      <c r="R57" s="28"/>
      <c r="S57" s="9">
        <v>39210</v>
      </c>
      <c r="T57" s="9"/>
      <c r="U57" s="9"/>
      <c r="V57" s="9"/>
      <c r="W57" s="8">
        <v>34762.5</v>
      </c>
      <c r="X57" s="9"/>
      <c r="Y57" s="9">
        <v>35500</v>
      </c>
      <c r="AA57" s="9">
        <v>30000</v>
      </c>
      <c r="AC57" s="28">
        <f t="shared" si="27"/>
        <v>34936.1</v>
      </c>
      <c r="AD57" s="28">
        <f t="shared" si="28"/>
        <v>39356</v>
      </c>
      <c r="AE57" s="28">
        <f t="shared" si="29"/>
        <v>30475</v>
      </c>
      <c r="AG57" s="28">
        <f t="shared" si="30"/>
        <v>-173.59999999999854</v>
      </c>
      <c r="AH57" s="28">
        <f t="shared" si="31"/>
        <v>-4593.5</v>
      </c>
      <c r="AI57" s="28">
        <f t="shared" si="32"/>
        <v>4287.5</v>
      </c>
      <c r="AK57" s="28">
        <f t="shared" si="33"/>
        <v>563.90000000000146</v>
      </c>
      <c r="AL57" s="28">
        <f t="shared" si="34"/>
        <v>-3856</v>
      </c>
      <c r="AM57" s="28">
        <f t="shared" si="35"/>
        <v>5025</v>
      </c>
    </row>
    <row r="58" spans="1:39" s="1" customFormat="1" ht="11.25" customHeight="1" x14ac:dyDescent="0.2">
      <c r="A58" s="26"/>
      <c r="B58" s="26"/>
      <c r="C58" s="26"/>
      <c r="D58" s="26"/>
      <c r="E58" s="26"/>
      <c r="F58" s="26" t="s">
        <v>74</v>
      </c>
      <c r="G58" s="26"/>
      <c r="H58" s="28"/>
      <c r="I58" s="28">
        <v>33884</v>
      </c>
      <c r="J58" s="28"/>
      <c r="K58" s="28">
        <v>35374</v>
      </c>
      <c r="L58" s="28"/>
      <c r="M58" s="28">
        <v>35660</v>
      </c>
      <c r="N58" s="28"/>
      <c r="O58" s="28">
        <v>37214.28</v>
      </c>
      <c r="P58" s="28"/>
      <c r="Q58" s="28">
        <v>40694.1</v>
      </c>
      <c r="R58" s="28"/>
      <c r="S58" s="9">
        <v>42064</v>
      </c>
      <c r="T58" s="9"/>
      <c r="U58" s="9"/>
      <c r="V58" s="9"/>
      <c r="W58" s="8">
        <v>42214.6</v>
      </c>
      <c r="X58" s="9"/>
      <c r="Y58" s="9">
        <v>40000</v>
      </c>
      <c r="AA58" s="9">
        <v>40000</v>
      </c>
      <c r="AC58" s="28">
        <f t="shared" si="27"/>
        <v>38201.275999999998</v>
      </c>
      <c r="AD58" s="28">
        <f t="shared" si="28"/>
        <v>42064</v>
      </c>
      <c r="AE58" s="28">
        <f t="shared" si="29"/>
        <v>35374</v>
      </c>
      <c r="AG58" s="28">
        <f t="shared" si="30"/>
        <v>4013.3240000000005</v>
      </c>
      <c r="AH58" s="28">
        <f t="shared" si="31"/>
        <v>150.59999999999854</v>
      </c>
      <c r="AI58" s="28">
        <f t="shared" si="32"/>
        <v>6840.5999999999985</v>
      </c>
      <c r="AK58" s="28">
        <f t="shared" si="33"/>
        <v>1798.724000000002</v>
      </c>
      <c r="AL58" s="28">
        <f t="shared" si="34"/>
        <v>-2064</v>
      </c>
      <c r="AM58" s="28">
        <f t="shared" si="35"/>
        <v>4626</v>
      </c>
    </row>
    <row r="59" spans="1:39" s="1" customFormat="1" ht="11.25" customHeight="1" x14ac:dyDescent="0.2">
      <c r="A59" s="26"/>
      <c r="B59" s="26"/>
      <c r="C59" s="26"/>
      <c r="D59" s="26"/>
      <c r="E59" s="26"/>
      <c r="F59" s="26" t="s">
        <v>75</v>
      </c>
      <c r="G59" s="26"/>
      <c r="H59" s="28"/>
      <c r="I59" s="28">
        <f>60043+100</f>
        <v>60143</v>
      </c>
      <c r="J59" s="28"/>
      <c r="K59" s="28">
        <v>557</v>
      </c>
      <c r="L59" s="28"/>
      <c r="M59" s="28">
        <v>4558</v>
      </c>
      <c r="N59" s="28"/>
      <c r="O59" s="28">
        <v>20347.87</v>
      </c>
      <c r="P59" s="28"/>
      <c r="Q59" s="28">
        <v>17757.97</v>
      </c>
      <c r="R59" s="28"/>
      <c r="S59" s="9">
        <v>15456.35</v>
      </c>
      <c r="T59" s="9"/>
      <c r="U59" s="9"/>
      <c r="V59" s="9"/>
      <c r="W59" s="8">
        <v>2891.08</v>
      </c>
      <c r="X59" s="9"/>
      <c r="Y59" s="9">
        <v>7500</v>
      </c>
      <c r="AA59" s="9">
        <v>2500</v>
      </c>
      <c r="AC59" s="28">
        <f t="shared" si="27"/>
        <v>11735.437999999998</v>
      </c>
      <c r="AD59" s="28">
        <f t="shared" si="28"/>
        <v>20347.87</v>
      </c>
      <c r="AE59" s="28">
        <f t="shared" si="29"/>
        <v>557</v>
      </c>
      <c r="AG59" s="28">
        <f t="shared" si="30"/>
        <v>-8844.3579999999984</v>
      </c>
      <c r="AH59" s="28">
        <f t="shared" si="31"/>
        <v>-17456.79</v>
      </c>
      <c r="AI59" s="28">
        <f t="shared" si="32"/>
        <v>2334.08</v>
      </c>
      <c r="AK59" s="28">
        <f t="shared" si="33"/>
        <v>-4235.4379999999983</v>
      </c>
      <c r="AL59" s="28">
        <f t="shared" si="34"/>
        <v>-12847.869999999999</v>
      </c>
      <c r="AM59" s="28">
        <f t="shared" si="35"/>
        <v>6943</v>
      </c>
    </row>
    <row r="60" spans="1:39" s="1" customFormat="1" ht="11.25" customHeight="1" x14ac:dyDescent="0.2">
      <c r="A60" s="26"/>
      <c r="B60" s="26"/>
      <c r="C60" s="26"/>
      <c r="D60" s="26"/>
      <c r="E60" s="26"/>
      <c r="F60" s="26" t="s">
        <v>355</v>
      </c>
      <c r="G60" s="26"/>
      <c r="H60" s="28"/>
      <c r="I60" s="28"/>
      <c r="J60" s="28"/>
      <c r="K60" s="28"/>
      <c r="L60" s="28"/>
      <c r="M60" s="28"/>
      <c r="N60" s="28"/>
      <c r="O60" s="28"/>
      <c r="P60" s="28"/>
      <c r="Q60" s="28"/>
      <c r="R60" s="28"/>
      <c r="S60" s="9"/>
      <c r="T60" s="9"/>
      <c r="U60" s="9"/>
      <c r="V60" s="9"/>
      <c r="W60" s="8">
        <v>30899</v>
      </c>
      <c r="X60" s="9"/>
      <c r="Y60" s="9"/>
      <c r="AA60" s="9"/>
      <c r="AC60" s="28"/>
      <c r="AD60" s="28"/>
      <c r="AE60" s="28"/>
      <c r="AG60" s="28"/>
      <c r="AH60" s="28"/>
      <c r="AI60" s="28"/>
      <c r="AK60" s="28"/>
      <c r="AL60" s="28"/>
      <c r="AM60" s="28"/>
    </row>
    <row r="61" spans="1:39" s="1" customFormat="1" ht="12" customHeight="1" thickBot="1" x14ac:dyDescent="0.25">
      <c r="A61" s="26"/>
      <c r="B61" s="26"/>
      <c r="C61" s="26"/>
      <c r="D61" s="26"/>
      <c r="E61" s="26"/>
      <c r="F61" s="26" t="s">
        <v>76</v>
      </c>
      <c r="G61" s="26"/>
      <c r="H61" s="28"/>
      <c r="I61" s="33"/>
      <c r="J61" s="28"/>
      <c r="K61" s="33"/>
      <c r="L61" s="28"/>
      <c r="M61" s="33"/>
      <c r="N61" s="28"/>
      <c r="O61" s="33"/>
      <c r="P61" s="33"/>
      <c r="Q61" s="33">
        <v>0</v>
      </c>
      <c r="R61" s="33"/>
      <c r="S61" s="14">
        <v>13000</v>
      </c>
      <c r="T61" s="11"/>
      <c r="U61" s="11"/>
      <c r="V61" s="9"/>
      <c r="W61" s="14">
        <v>0</v>
      </c>
      <c r="X61" s="9"/>
      <c r="Y61" s="14">
        <v>0</v>
      </c>
      <c r="AA61" s="14">
        <v>0</v>
      </c>
      <c r="AC61" s="33">
        <f>AVERAGE(K61:S61)</f>
        <v>6500</v>
      </c>
      <c r="AD61" s="33">
        <f>MAX(K61:S61)</f>
        <v>13000</v>
      </c>
      <c r="AE61" s="33">
        <f>MIN(K61:S61)</f>
        <v>0</v>
      </c>
      <c r="AG61" s="33">
        <f>+W61-AC61</f>
        <v>-6500</v>
      </c>
      <c r="AH61" s="33">
        <f>+W61-AD61</f>
        <v>-13000</v>
      </c>
      <c r="AI61" s="33">
        <f>+W61-AE61</f>
        <v>0</v>
      </c>
      <c r="AK61" s="33">
        <f>+Y61-AC61</f>
        <v>-6500</v>
      </c>
      <c r="AL61" s="33">
        <f>+Y61-AD61</f>
        <v>-13000</v>
      </c>
      <c r="AM61" s="33">
        <f>+Y61-AE61</f>
        <v>0</v>
      </c>
    </row>
    <row r="62" spans="1:39" s="1" customFormat="1" ht="11.25" customHeight="1" x14ac:dyDescent="0.2">
      <c r="A62" s="26"/>
      <c r="B62" s="26"/>
      <c r="C62" s="26"/>
      <c r="D62" s="26"/>
      <c r="E62" s="26" t="s">
        <v>77</v>
      </c>
      <c r="F62" s="26"/>
      <c r="G62" s="26"/>
      <c r="H62" s="28"/>
      <c r="I62" s="28">
        <f>ROUND(SUM(I49:I61),5)</f>
        <v>146283</v>
      </c>
      <c r="J62" s="28"/>
      <c r="K62" s="28">
        <f>ROUND(SUM(K49:K61),5)</f>
        <v>84279</v>
      </c>
      <c r="L62" s="28"/>
      <c r="M62" s="28">
        <f>ROUND(SUM(M49:M61),5)</f>
        <v>109792</v>
      </c>
      <c r="N62" s="28"/>
      <c r="O62" s="28">
        <f>ROUND(SUM(O49:O61),5)</f>
        <v>94957.34</v>
      </c>
      <c r="P62" s="28"/>
      <c r="Q62" s="28">
        <f>ROUND(SUM(Q49:Q61),5)</f>
        <v>160267.06</v>
      </c>
      <c r="R62" s="28"/>
      <c r="S62" s="9">
        <f>ROUND(SUM(S49:S61),5)</f>
        <v>343556.22</v>
      </c>
      <c r="T62" s="9"/>
      <c r="U62" s="9"/>
      <c r="V62" s="9"/>
      <c r="W62" s="9">
        <f>ROUND(SUM(W49:W61),5)</f>
        <v>119708.76</v>
      </c>
      <c r="X62" s="9"/>
      <c r="Y62" s="9">
        <f>ROUND(SUM(Y49:Y61),5)</f>
        <v>116100</v>
      </c>
      <c r="AA62" s="9">
        <f>ROUND(SUM(AA49:AA61),5)</f>
        <v>76800</v>
      </c>
      <c r="AC62" s="28">
        <f t="shared" ref="AC62:AE62" si="36">ROUND(SUM(AC59:AC61),5)</f>
        <v>18235.437999999998</v>
      </c>
      <c r="AD62" s="28">
        <f t="shared" si="36"/>
        <v>33347.870000000003</v>
      </c>
      <c r="AE62" s="28">
        <f t="shared" si="36"/>
        <v>557</v>
      </c>
      <c r="AG62" s="28">
        <f t="shared" ref="AG62:AI62" si="37">ROUND(SUM(AG59:AG61),5)</f>
        <v>-15344.358</v>
      </c>
      <c r="AH62" s="28">
        <f t="shared" si="37"/>
        <v>-30456.79</v>
      </c>
      <c r="AI62" s="28">
        <f t="shared" si="37"/>
        <v>2334.08</v>
      </c>
      <c r="AK62" s="28"/>
      <c r="AL62" s="28"/>
      <c r="AM62" s="28"/>
    </row>
    <row r="63" spans="1:39" s="1" customFormat="1" ht="11.25" customHeight="1" x14ac:dyDescent="0.2">
      <c r="A63" s="26"/>
      <c r="B63" s="26"/>
      <c r="C63" s="26"/>
      <c r="D63" s="26"/>
      <c r="E63" s="26" t="s">
        <v>78</v>
      </c>
      <c r="F63" s="26"/>
      <c r="G63" s="26"/>
      <c r="H63" s="28"/>
      <c r="I63" s="28"/>
      <c r="J63" s="28"/>
      <c r="K63" s="28"/>
      <c r="L63" s="28"/>
      <c r="M63" s="28"/>
      <c r="N63" s="28"/>
      <c r="O63" s="28"/>
      <c r="P63" s="28"/>
      <c r="Q63" s="28"/>
      <c r="R63" s="28"/>
      <c r="S63" s="9"/>
      <c r="T63" s="9"/>
      <c r="U63" s="9"/>
      <c r="V63" s="9"/>
      <c r="W63" s="9"/>
      <c r="X63" s="9"/>
      <c r="Y63" s="9"/>
      <c r="AA63" s="9"/>
      <c r="AC63" s="28"/>
      <c r="AD63" s="28"/>
      <c r="AE63" s="28"/>
      <c r="AG63" s="28"/>
      <c r="AH63" s="28"/>
      <c r="AI63" s="28"/>
      <c r="AK63" s="28"/>
      <c r="AL63" s="28"/>
      <c r="AM63" s="28"/>
    </row>
    <row r="64" spans="1:39" s="1" customFormat="1" ht="11.25" customHeight="1" x14ac:dyDescent="0.2">
      <c r="A64" s="26"/>
      <c r="B64" s="26"/>
      <c r="C64" s="26"/>
      <c r="D64" s="26"/>
      <c r="E64" s="26"/>
      <c r="F64" s="26" t="s">
        <v>79</v>
      </c>
      <c r="G64" s="26"/>
      <c r="H64" s="28"/>
      <c r="I64" s="28">
        <v>8538</v>
      </c>
      <c r="J64" s="28"/>
      <c r="K64" s="28">
        <v>877</v>
      </c>
      <c r="L64" s="28"/>
      <c r="M64" s="28">
        <v>2610</v>
      </c>
      <c r="N64" s="28"/>
      <c r="O64" s="28">
        <v>6411.49</v>
      </c>
      <c r="P64" s="28"/>
      <c r="Q64" s="28">
        <v>0</v>
      </c>
      <c r="R64" s="28"/>
      <c r="S64" s="9">
        <v>0</v>
      </c>
      <c r="T64" s="9"/>
      <c r="U64" s="9"/>
      <c r="V64" s="9"/>
      <c r="W64" s="9">
        <v>2512</v>
      </c>
      <c r="X64" s="9"/>
      <c r="Y64" s="9">
        <v>0</v>
      </c>
      <c r="AA64" s="9">
        <v>0</v>
      </c>
      <c r="AC64" s="28">
        <f>AVERAGE(K64:S64)</f>
        <v>1979.6979999999999</v>
      </c>
      <c r="AD64" s="28">
        <f>MAX(K64:S64)</f>
        <v>6411.49</v>
      </c>
      <c r="AE64" s="28">
        <f>MIN(K64:S64)</f>
        <v>0</v>
      </c>
      <c r="AG64" s="28">
        <f>+W64-AC64</f>
        <v>532.30200000000013</v>
      </c>
      <c r="AH64" s="28">
        <f>+W64-AD64</f>
        <v>-3899.49</v>
      </c>
      <c r="AI64" s="28">
        <f>+W64-AE64</f>
        <v>2512</v>
      </c>
      <c r="AK64" s="28">
        <f>+Y64-AC64</f>
        <v>-1979.6979999999999</v>
      </c>
      <c r="AL64" s="28">
        <f>+Y64-AD64</f>
        <v>-6411.49</v>
      </c>
      <c r="AM64" s="28">
        <f>+Y64-AE64</f>
        <v>0</v>
      </c>
    </row>
    <row r="65" spans="1:39" s="1" customFormat="1" ht="12" customHeight="1" thickBot="1" x14ac:dyDescent="0.25">
      <c r="A65" s="26"/>
      <c r="B65" s="26"/>
      <c r="C65" s="26"/>
      <c r="D65" s="26"/>
      <c r="E65" s="26"/>
      <c r="F65" s="26" t="s">
        <v>80</v>
      </c>
      <c r="G65" s="26"/>
      <c r="H65" s="28"/>
      <c r="I65" s="33">
        <v>124</v>
      </c>
      <c r="J65" s="28"/>
      <c r="K65" s="33">
        <v>-332</v>
      </c>
      <c r="L65" s="28"/>
      <c r="M65" s="33">
        <v>-1418</v>
      </c>
      <c r="N65" s="28"/>
      <c r="O65" s="33">
        <v>360.22</v>
      </c>
      <c r="P65" s="33"/>
      <c r="Q65" s="33">
        <v>1075.6500000000001</v>
      </c>
      <c r="R65" s="33"/>
      <c r="S65" s="14">
        <v>-981.45</v>
      </c>
      <c r="T65" s="11"/>
      <c r="U65" s="11"/>
      <c r="V65" s="9"/>
      <c r="W65" s="14">
        <v>-1612.97</v>
      </c>
      <c r="X65" s="9"/>
      <c r="Y65" s="14">
        <v>0</v>
      </c>
      <c r="AA65" s="14">
        <v>0</v>
      </c>
      <c r="AC65" s="33">
        <f>AVERAGE(K65:S65)</f>
        <v>-259.11599999999999</v>
      </c>
      <c r="AD65" s="33">
        <f>MAX(K65:S65)</f>
        <v>1075.6500000000001</v>
      </c>
      <c r="AE65" s="33">
        <f>MIN(K65:S65)</f>
        <v>-1418</v>
      </c>
      <c r="AG65" s="33">
        <f>+W65-AC65</f>
        <v>-1353.854</v>
      </c>
      <c r="AH65" s="33">
        <f>+W65-AD65</f>
        <v>-2688.62</v>
      </c>
      <c r="AI65" s="33">
        <f>+W65-AE65</f>
        <v>-194.97000000000003</v>
      </c>
      <c r="AK65" s="33">
        <f>+Y65-AC65</f>
        <v>259.11599999999999</v>
      </c>
      <c r="AL65" s="33">
        <f>+Y65-AD65</f>
        <v>-1075.6500000000001</v>
      </c>
      <c r="AM65" s="33">
        <f>+Y65-AE65</f>
        <v>1418</v>
      </c>
    </row>
    <row r="66" spans="1:39" s="1" customFormat="1" ht="11.25" customHeight="1" x14ac:dyDescent="0.2">
      <c r="A66" s="26"/>
      <c r="B66" s="26"/>
      <c r="C66" s="26"/>
      <c r="D66" s="26"/>
      <c r="E66" s="26" t="s">
        <v>81</v>
      </c>
      <c r="F66" s="26"/>
      <c r="G66" s="26"/>
      <c r="H66" s="28"/>
      <c r="I66" s="28">
        <f>ROUND(SUM(I63:I65),5)</f>
        <v>8662</v>
      </c>
      <c r="J66" s="28"/>
      <c r="K66" s="28">
        <f>ROUND(SUM(K63:K65),5)</f>
        <v>545</v>
      </c>
      <c r="L66" s="28"/>
      <c r="M66" s="28">
        <f>ROUND(SUM(M63:M65),5)</f>
        <v>1192</v>
      </c>
      <c r="N66" s="28"/>
      <c r="O66" s="28">
        <f>ROUND(SUM(O63:O65),5)</f>
        <v>6771.71</v>
      </c>
      <c r="P66" s="28"/>
      <c r="Q66" s="28">
        <f>ROUND(SUM(Q63:Q65),5)</f>
        <v>1075.6500000000001</v>
      </c>
      <c r="R66" s="28"/>
      <c r="S66" s="9">
        <f>ROUND(SUM(S63:S65),5)</f>
        <v>-981.45</v>
      </c>
      <c r="T66" s="9"/>
      <c r="U66" s="9"/>
      <c r="V66" s="9"/>
      <c r="W66" s="9">
        <f>ROUND(SUM(W63:W65),5)</f>
        <v>899.03</v>
      </c>
      <c r="X66" s="9"/>
      <c r="Y66" s="9">
        <f>ROUND(SUM(Y63:Y65),5)</f>
        <v>0</v>
      </c>
      <c r="AA66" s="9">
        <f>ROUND(SUM(AA63:AA65),5)</f>
        <v>0</v>
      </c>
      <c r="AC66" s="28">
        <f>ROUND(SUM(AC63:AC65),5)</f>
        <v>1720.5820000000001</v>
      </c>
      <c r="AD66" s="28">
        <f>ROUND(SUM(AD63:AD65),5)</f>
        <v>7487.14</v>
      </c>
      <c r="AE66" s="28">
        <f>ROUND(SUM(AE63:AE65),5)</f>
        <v>-1418</v>
      </c>
      <c r="AG66" s="28"/>
      <c r="AH66" s="28"/>
      <c r="AI66" s="28"/>
      <c r="AK66" s="28"/>
      <c r="AL66" s="28"/>
      <c r="AM66" s="28"/>
    </row>
    <row r="67" spans="1:39" s="1" customFormat="1" ht="11.25" customHeight="1" x14ac:dyDescent="0.2">
      <c r="A67" s="26"/>
      <c r="B67" s="26"/>
      <c r="C67" s="26"/>
      <c r="D67" s="26"/>
      <c r="E67" s="26" t="s">
        <v>82</v>
      </c>
      <c r="F67" s="26"/>
      <c r="G67" s="26"/>
      <c r="H67" s="28"/>
      <c r="I67" s="28"/>
      <c r="J67" s="28"/>
      <c r="K67" s="28"/>
      <c r="L67" s="28"/>
      <c r="M67" s="28"/>
      <c r="N67" s="28"/>
      <c r="O67" s="28"/>
      <c r="P67" s="28"/>
      <c r="Q67" s="28"/>
      <c r="R67" s="28"/>
      <c r="S67" s="9"/>
      <c r="T67" s="9"/>
      <c r="U67" s="9"/>
      <c r="V67" s="9"/>
      <c r="W67" s="9"/>
      <c r="X67" s="9"/>
      <c r="Y67" s="9"/>
      <c r="AA67" s="9"/>
      <c r="AC67" s="28"/>
      <c r="AD67" s="28"/>
      <c r="AE67" s="28"/>
      <c r="AG67" s="28"/>
      <c r="AH67" s="28"/>
      <c r="AI67" s="28"/>
      <c r="AK67" s="28"/>
      <c r="AL67" s="28"/>
      <c r="AM67" s="28"/>
    </row>
    <row r="68" spans="1:39" s="1" customFormat="1" ht="11.25" customHeight="1" x14ac:dyDescent="0.2">
      <c r="A68" s="26"/>
      <c r="B68" s="26"/>
      <c r="C68" s="26"/>
      <c r="D68" s="26"/>
      <c r="E68" s="26"/>
      <c r="F68" s="26" t="s">
        <v>83</v>
      </c>
      <c r="G68" s="26"/>
      <c r="H68" s="28"/>
      <c r="I68" s="28"/>
      <c r="J68" s="28"/>
      <c r="K68" s="28"/>
      <c r="L68" s="28"/>
      <c r="M68" s="28"/>
      <c r="N68" s="28"/>
      <c r="O68" s="28"/>
      <c r="P68" s="28"/>
      <c r="Q68" s="28"/>
      <c r="R68" s="28"/>
      <c r="S68" s="9"/>
      <c r="T68" s="9"/>
      <c r="U68" s="9"/>
      <c r="V68" s="9"/>
      <c r="W68" s="9">
        <v>4240.55</v>
      </c>
      <c r="X68" s="9"/>
      <c r="Y68" s="9"/>
      <c r="AA68" s="9"/>
      <c r="AC68" s="28"/>
      <c r="AD68" s="28"/>
      <c r="AE68" s="28"/>
      <c r="AG68" s="28"/>
      <c r="AH68" s="28"/>
      <c r="AI68" s="28"/>
      <c r="AK68" s="28"/>
      <c r="AL68" s="28"/>
      <c r="AM68" s="28"/>
    </row>
    <row r="69" spans="1:39" s="16" customFormat="1" ht="11.25" customHeight="1" x14ac:dyDescent="0.2">
      <c r="A69" s="26"/>
      <c r="B69" s="26"/>
      <c r="C69" s="26"/>
      <c r="D69" s="26"/>
      <c r="E69" s="26"/>
      <c r="F69" s="26" t="s">
        <v>84</v>
      </c>
      <c r="G69" s="26"/>
      <c r="H69" s="28"/>
      <c r="I69" s="28"/>
      <c r="J69" s="28"/>
      <c r="K69" s="28"/>
      <c r="L69" s="28"/>
      <c r="M69" s="28"/>
      <c r="N69" s="28"/>
      <c r="O69" s="31">
        <v>10686.42</v>
      </c>
      <c r="P69" s="31"/>
      <c r="Q69" s="28">
        <v>20705.47</v>
      </c>
      <c r="R69" s="28"/>
      <c r="S69" s="11">
        <v>24825.85</v>
      </c>
      <c r="T69" s="11"/>
      <c r="U69" s="11"/>
      <c r="V69" s="11"/>
      <c r="W69" s="11">
        <v>25442</v>
      </c>
      <c r="X69" s="11"/>
      <c r="Y69" s="11">
        <v>25000</v>
      </c>
      <c r="AA69" s="11">
        <v>23000</v>
      </c>
      <c r="AC69" s="31">
        <f>AVERAGE(K69:S69)</f>
        <v>18739.246666666666</v>
      </c>
      <c r="AD69" s="31">
        <f>MAX(K69:S69)</f>
        <v>24825.85</v>
      </c>
      <c r="AE69" s="31">
        <f>MIN(K69:S69)</f>
        <v>10686.42</v>
      </c>
      <c r="AF69" s="1"/>
      <c r="AG69" s="31">
        <f>+W69-AC69</f>
        <v>6702.753333333334</v>
      </c>
      <c r="AH69" s="31">
        <f>+W69-AD69</f>
        <v>616.15000000000146</v>
      </c>
      <c r="AI69" s="31">
        <f>+W69-AE69</f>
        <v>14755.58</v>
      </c>
      <c r="AJ69" s="1"/>
      <c r="AK69" s="31">
        <f>+Y69-AC69</f>
        <v>6260.753333333334</v>
      </c>
      <c r="AL69" s="31">
        <f>+Y69-AD69</f>
        <v>174.15000000000146</v>
      </c>
      <c r="AM69" s="31">
        <f>+Y69-AE69</f>
        <v>14313.58</v>
      </c>
    </row>
    <row r="70" spans="1:39" s="1" customFormat="1" ht="12" customHeight="1" thickBot="1" x14ac:dyDescent="0.25">
      <c r="A70" s="26"/>
      <c r="B70" s="26"/>
      <c r="C70" s="26"/>
      <c r="D70" s="26"/>
      <c r="E70" s="26"/>
      <c r="F70" s="26" t="s">
        <v>85</v>
      </c>
      <c r="G70" s="26"/>
      <c r="H70" s="28"/>
      <c r="I70" s="33"/>
      <c r="J70" s="28"/>
      <c r="K70" s="33"/>
      <c r="L70" s="28"/>
      <c r="M70" s="33"/>
      <c r="N70" s="28"/>
      <c r="O70" s="33"/>
      <c r="P70" s="33"/>
      <c r="Q70" s="33">
        <v>29486</v>
      </c>
      <c r="R70" s="33"/>
      <c r="S70" s="14"/>
      <c r="T70" s="11"/>
      <c r="U70" s="11"/>
      <c r="V70" s="9"/>
      <c r="W70" s="14"/>
      <c r="X70" s="9"/>
      <c r="Y70" s="14"/>
      <c r="AA70" s="14"/>
      <c r="AC70" s="33">
        <f>AVERAGE(K70:S70)</f>
        <v>29486</v>
      </c>
      <c r="AD70" s="33">
        <f>MAX(K70:S70)</f>
        <v>29486</v>
      </c>
      <c r="AE70" s="33">
        <f>MIN(K70:S70)</f>
        <v>29486</v>
      </c>
      <c r="AG70" s="33">
        <f>+W70-AC70</f>
        <v>-29486</v>
      </c>
      <c r="AH70" s="33">
        <f>+W70-AD70</f>
        <v>-29486</v>
      </c>
      <c r="AI70" s="33">
        <f>+W70-AE70</f>
        <v>-29486</v>
      </c>
      <c r="AK70" s="33">
        <f>+Y70-AC70</f>
        <v>-29486</v>
      </c>
      <c r="AL70" s="33">
        <f>+Y70-AD70</f>
        <v>-29486</v>
      </c>
      <c r="AM70" s="33">
        <f>+Y70-AE70</f>
        <v>-29486</v>
      </c>
    </row>
    <row r="71" spans="1:39" s="1" customFormat="1" ht="11.25" customHeight="1" x14ac:dyDescent="0.2">
      <c r="A71" s="26"/>
      <c r="B71" s="26"/>
      <c r="C71" s="26"/>
      <c r="D71" s="26"/>
      <c r="E71" s="26" t="s">
        <v>86</v>
      </c>
      <c r="F71" s="26"/>
      <c r="G71" s="26"/>
      <c r="H71" s="28"/>
      <c r="I71" s="28">
        <f>ROUND(SUM(I67:I70),5)</f>
        <v>0</v>
      </c>
      <c r="J71" s="28"/>
      <c r="K71" s="28">
        <f>ROUND(SUM(K67:K70),5)</f>
        <v>0</v>
      </c>
      <c r="L71" s="28"/>
      <c r="M71" s="28">
        <f>ROUND(SUM(M67:M70),5)</f>
        <v>0</v>
      </c>
      <c r="N71" s="28"/>
      <c r="O71" s="28">
        <f>ROUND(SUM(O67:O70),5)</f>
        <v>10686.42</v>
      </c>
      <c r="P71" s="28"/>
      <c r="Q71" s="28">
        <f>ROUND(SUM(Q67:Q70),5)</f>
        <v>50191.47</v>
      </c>
      <c r="R71" s="28"/>
      <c r="S71" s="9">
        <f>ROUND(SUM(S67:S70),5)</f>
        <v>24825.85</v>
      </c>
      <c r="T71" s="9"/>
      <c r="U71" s="9"/>
      <c r="V71" s="9"/>
      <c r="W71" s="9">
        <f>ROUND(SUM(W67:W70),5)</f>
        <v>29682.55</v>
      </c>
      <c r="X71" s="9"/>
      <c r="Y71" s="9">
        <f>ROUND(SUM(Y67:Y70),5)</f>
        <v>25000</v>
      </c>
      <c r="AA71" s="9">
        <f>ROUND(SUM(AA67:AA70),5)</f>
        <v>23000</v>
      </c>
      <c r="AC71" s="28">
        <f t="shared" ref="AC71:AE71" si="38">ROUND(SUM(AC67:AC70),5)</f>
        <v>48225.24667</v>
      </c>
      <c r="AD71" s="28">
        <f t="shared" si="38"/>
        <v>54311.85</v>
      </c>
      <c r="AE71" s="28">
        <f t="shared" si="38"/>
        <v>40172.42</v>
      </c>
      <c r="AG71" s="28">
        <f t="shared" ref="AG71:AI71" si="39">ROUND(SUM(AG67:AG70),5)</f>
        <v>-22783.24667</v>
      </c>
      <c r="AH71" s="28">
        <f t="shared" si="39"/>
        <v>-28869.85</v>
      </c>
      <c r="AI71" s="28">
        <f t="shared" si="39"/>
        <v>-14730.42</v>
      </c>
      <c r="AK71" s="28"/>
      <c r="AL71" s="28"/>
      <c r="AM71" s="28"/>
    </row>
    <row r="72" spans="1:39" s="1" customFormat="1" ht="11.25" customHeight="1" x14ac:dyDescent="0.2">
      <c r="A72" s="26"/>
      <c r="B72" s="26"/>
      <c r="C72" s="26"/>
      <c r="D72" s="26"/>
      <c r="E72" s="26" t="s">
        <v>87</v>
      </c>
      <c r="F72" s="26"/>
      <c r="G72" s="26"/>
      <c r="H72" s="28"/>
      <c r="I72" s="28"/>
      <c r="J72" s="28"/>
      <c r="K72" s="28"/>
      <c r="L72" s="28"/>
      <c r="M72" s="28"/>
      <c r="N72" s="28"/>
      <c r="O72" s="28"/>
      <c r="P72" s="28"/>
      <c r="Q72" s="28"/>
      <c r="R72" s="28"/>
      <c r="S72" s="9"/>
      <c r="T72" s="9"/>
      <c r="U72" s="9"/>
      <c r="V72" s="9"/>
      <c r="W72" s="9"/>
      <c r="X72" s="9"/>
      <c r="Y72" s="9"/>
      <c r="AA72" s="9"/>
      <c r="AC72" s="28"/>
      <c r="AD72" s="28"/>
      <c r="AE72" s="28"/>
      <c r="AG72" s="28"/>
      <c r="AH72" s="28"/>
      <c r="AI72" s="28"/>
      <c r="AK72" s="28"/>
      <c r="AL72" s="28"/>
      <c r="AM72" s="28"/>
    </row>
    <row r="73" spans="1:39" s="1" customFormat="1" ht="11.25" customHeight="1" x14ac:dyDescent="0.2">
      <c r="A73" s="26"/>
      <c r="B73" s="26"/>
      <c r="C73" s="26"/>
      <c r="D73" s="26"/>
      <c r="E73" s="26"/>
      <c r="F73" s="30" t="s">
        <v>88</v>
      </c>
      <c r="G73" s="26"/>
      <c r="H73" s="28"/>
      <c r="I73" s="28"/>
      <c r="J73" s="28"/>
      <c r="K73" s="28"/>
      <c r="L73" s="28"/>
      <c r="M73" s="28"/>
      <c r="N73" s="28"/>
      <c r="O73" s="28"/>
      <c r="P73" s="28"/>
      <c r="Q73" s="28">
        <v>3000</v>
      </c>
      <c r="R73" s="28"/>
      <c r="S73" s="9">
        <v>1396</v>
      </c>
      <c r="T73" s="9"/>
      <c r="U73" s="9"/>
      <c r="V73" s="9"/>
      <c r="W73" s="9">
        <v>1750</v>
      </c>
      <c r="X73" s="9"/>
      <c r="Y73" s="9">
        <v>2000</v>
      </c>
      <c r="AA73" s="9"/>
      <c r="AC73" s="28">
        <f t="shared" ref="AC73:AC78" si="40">AVERAGE(K73:S73)</f>
        <v>2198</v>
      </c>
      <c r="AD73" s="28">
        <f>MAX(K73:S73)</f>
        <v>3000</v>
      </c>
      <c r="AE73" s="28">
        <f>MIN(K73:S73)</f>
        <v>1396</v>
      </c>
      <c r="AG73" s="28">
        <f>+W73-AC73</f>
        <v>-448</v>
      </c>
      <c r="AH73" s="28">
        <f>+W73-AD73</f>
        <v>-1250</v>
      </c>
      <c r="AI73" s="28">
        <f>+W73-AE73</f>
        <v>354</v>
      </c>
      <c r="AK73" s="28">
        <f>+Y73-AC73</f>
        <v>-198</v>
      </c>
      <c r="AL73" s="28">
        <f>+Y73-AD73</f>
        <v>-1000</v>
      </c>
      <c r="AM73" s="28">
        <f>+Y73-AE73</f>
        <v>604</v>
      </c>
    </row>
    <row r="74" spans="1:39" s="1" customFormat="1" ht="11.25" customHeight="1" x14ac:dyDescent="0.2">
      <c r="A74" s="26"/>
      <c r="B74" s="26"/>
      <c r="C74" s="26"/>
      <c r="D74" s="26"/>
      <c r="E74" s="26"/>
      <c r="F74" s="30" t="s">
        <v>89</v>
      </c>
      <c r="G74" s="26"/>
      <c r="H74" s="28"/>
      <c r="I74" s="28"/>
      <c r="J74" s="28"/>
      <c r="K74" s="28"/>
      <c r="L74" s="28"/>
      <c r="M74" s="28"/>
      <c r="N74" s="28"/>
      <c r="O74" s="28"/>
      <c r="P74" s="28"/>
      <c r="Q74" s="28">
        <v>3980</v>
      </c>
      <c r="R74" s="28"/>
      <c r="S74" s="9">
        <v>4841</v>
      </c>
      <c r="T74" s="9"/>
      <c r="U74" s="9"/>
      <c r="V74" s="9"/>
      <c r="W74" s="9">
        <v>2765</v>
      </c>
      <c r="X74" s="9"/>
      <c r="Y74" s="9">
        <v>3000</v>
      </c>
      <c r="AA74" s="9"/>
      <c r="AC74" s="28">
        <f t="shared" si="40"/>
        <v>4410.5</v>
      </c>
      <c r="AD74" s="28">
        <f>MAX(K74:S74)</f>
        <v>4841</v>
      </c>
      <c r="AE74" s="28">
        <f>MIN(K74:S74)</f>
        <v>3980</v>
      </c>
      <c r="AG74" s="28">
        <f>+W74-AC74</f>
        <v>-1645.5</v>
      </c>
      <c r="AH74" s="28">
        <f>+W74-AD74</f>
        <v>-2076</v>
      </c>
      <c r="AI74" s="28">
        <f>+W74-AE74</f>
        <v>-1215</v>
      </c>
      <c r="AK74" s="28">
        <f>+Y74-AC74</f>
        <v>-1410.5</v>
      </c>
      <c r="AL74" s="28">
        <f>+Y74-AD74</f>
        <v>-1841</v>
      </c>
      <c r="AM74" s="28">
        <f>+Y74-AE74</f>
        <v>-980</v>
      </c>
    </row>
    <row r="75" spans="1:39" s="1" customFormat="1" ht="11.25" customHeight="1" x14ac:dyDescent="0.2">
      <c r="A75" s="26"/>
      <c r="B75" s="26"/>
      <c r="C75" s="26"/>
      <c r="D75" s="26"/>
      <c r="E75" s="26"/>
      <c r="F75" s="30" t="s">
        <v>90</v>
      </c>
      <c r="G75" s="26"/>
      <c r="H75" s="28"/>
      <c r="I75" s="28"/>
      <c r="J75" s="28"/>
      <c r="K75" s="28"/>
      <c r="L75" s="28"/>
      <c r="M75" s="28"/>
      <c r="N75" s="28"/>
      <c r="O75" s="28"/>
      <c r="P75" s="28"/>
      <c r="Q75" s="28">
        <v>2207.52</v>
      </c>
      <c r="R75" s="28"/>
      <c r="S75" s="9">
        <v>1785</v>
      </c>
      <c r="T75" s="9"/>
      <c r="U75" s="9"/>
      <c r="V75" s="9"/>
      <c r="W75" s="9">
        <v>3158</v>
      </c>
      <c r="X75" s="9"/>
      <c r="Y75" s="9">
        <v>5000</v>
      </c>
      <c r="AA75" s="9"/>
      <c r="AC75" s="28">
        <f t="shared" si="40"/>
        <v>1996.26</v>
      </c>
      <c r="AD75" s="28">
        <f>MAX(K75:S75)</f>
        <v>2207.52</v>
      </c>
      <c r="AE75" s="28">
        <f>MIN(K75:S75)</f>
        <v>1785</v>
      </c>
      <c r="AG75" s="28">
        <f>+W75-AC75</f>
        <v>1161.74</v>
      </c>
      <c r="AH75" s="28">
        <f>+W75-AD75</f>
        <v>950.48</v>
      </c>
      <c r="AI75" s="28">
        <f>+W75-AE75</f>
        <v>1373</v>
      </c>
      <c r="AK75" s="28">
        <f>+Y75-AC75</f>
        <v>3003.74</v>
      </c>
      <c r="AL75" s="28">
        <f>+Y75-AD75</f>
        <v>2792.48</v>
      </c>
      <c r="AM75" s="28">
        <f>+Y75-AE75</f>
        <v>3215</v>
      </c>
    </row>
    <row r="76" spans="1:39" s="1" customFormat="1" ht="11.25" customHeight="1" x14ac:dyDescent="0.2">
      <c r="A76" s="26"/>
      <c r="B76" s="26"/>
      <c r="C76" s="26"/>
      <c r="D76" s="26"/>
      <c r="E76" s="26"/>
      <c r="F76" s="26" t="s">
        <v>91</v>
      </c>
      <c r="G76" s="26"/>
      <c r="H76" s="28"/>
      <c r="I76" s="28"/>
      <c r="J76" s="28"/>
      <c r="K76" s="28"/>
      <c r="L76" s="28"/>
      <c r="M76" s="28"/>
      <c r="N76" s="28"/>
      <c r="O76" s="28"/>
      <c r="P76" s="28"/>
      <c r="Q76" s="28"/>
      <c r="R76" s="28"/>
      <c r="S76" s="9">
        <v>41134.85</v>
      </c>
      <c r="T76" s="9"/>
      <c r="U76" s="9"/>
      <c r="V76" s="9"/>
      <c r="W76" s="9">
        <f>44795+30000</f>
        <v>74795</v>
      </c>
      <c r="X76" s="9"/>
      <c r="Y76" s="9">
        <v>0</v>
      </c>
      <c r="AA76" s="9">
        <v>0</v>
      </c>
      <c r="AC76" s="28">
        <f t="shared" si="40"/>
        <v>41134.85</v>
      </c>
      <c r="AD76" s="28"/>
      <c r="AE76" s="28"/>
      <c r="AG76" s="28"/>
      <c r="AH76" s="28"/>
      <c r="AI76" s="28"/>
      <c r="AK76" s="28"/>
      <c r="AL76" s="28"/>
      <c r="AM76" s="28"/>
    </row>
    <row r="77" spans="1:39" s="1" customFormat="1" ht="11.25" customHeight="1" x14ac:dyDescent="0.2">
      <c r="A77" s="26"/>
      <c r="B77" s="26"/>
      <c r="C77" s="26"/>
      <c r="D77" s="26"/>
      <c r="E77" s="26"/>
      <c r="F77" s="26" t="s">
        <v>92</v>
      </c>
      <c r="G77" s="26"/>
      <c r="H77" s="28"/>
      <c r="I77" s="28"/>
      <c r="J77" s="28"/>
      <c r="K77" s="28"/>
      <c r="L77" s="28"/>
      <c r="M77" s="28"/>
      <c r="N77" s="28"/>
      <c r="O77" s="28"/>
      <c r="P77" s="28"/>
      <c r="Q77" s="28">
        <v>25000</v>
      </c>
      <c r="R77" s="28"/>
      <c r="S77" s="9">
        <v>0</v>
      </c>
      <c r="T77" s="9"/>
      <c r="U77" s="9"/>
      <c r="V77" s="9"/>
      <c r="W77" s="9">
        <v>0</v>
      </c>
      <c r="X77" s="9"/>
      <c r="Y77" s="9">
        <v>0</v>
      </c>
      <c r="AA77" s="9">
        <v>0</v>
      </c>
      <c r="AC77" s="28">
        <f t="shared" si="40"/>
        <v>12500</v>
      </c>
      <c r="AD77" s="28"/>
      <c r="AE77" s="28"/>
      <c r="AG77" s="28"/>
      <c r="AH77" s="28"/>
      <c r="AI77" s="28"/>
      <c r="AK77" s="28"/>
      <c r="AL77" s="28"/>
      <c r="AM77" s="28"/>
    </row>
    <row r="78" spans="1:39" s="1" customFormat="1" ht="12" customHeight="1" thickBot="1" x14ac:dyDescent="0.25">
      <c r="A78" s="26"/>
      <c r="B78" s="26"/>
      <c r="C78" s="26"/>
      <c r="D78" s="26"/>
      <c r="E78" s="26"/>
      <c r="F78" s="30" t="s">
        <v>93</v>
      </c>
      <c r="G78" s="26"/>
      <c r="H78" s="28"/>
      <c r="I78" s="33"/>
      <c r="J78" s="28"/>
      <c r="K78" s="33"/>
      <c r="L78" s="28"/>
      <c r="M78" s="33">
        <v>35000</v>
      </c>
      <c r="N78" s="28"/>
      <c r="O78" s="33"/>
      <c r="P78" s="33"/>
      <c r="Q78" s="33">
        <v>33773.42</v>
      </c>
      <c r="R78" s="33"/>
      <c r="S78" s="14">
        <v>0</v>
      </c>
      <c r="T78" s="11"/>
      <c r="U78" s="11"/>
      <c r="V78" s="9"/>
      <c r="W78" s="14">
        <v>0</v>
      </c>
      <c r="X78" s="9"/>
      <c r="Y78" s="14">
        <v>0</v>
      </c>
      <c r="AA78" s="14">
        <v>0</v>
      </c>
      <c r="AC78" s="33">
        <f t="shared" si="40"/>
        <v>22924.473333333332</v>
      </c>
      <c r="AD78" s="33">
        <f>MAX(K78:S78)</f>
        <v>35000</v>
      </c>
      <c r="AE78" s="33">
        <f>MIN(K78:S78)</f>
        <v>0</v>
      </c>
      <c r="AG78" s="33">
        <f>+W78-AC78</f>
        <v>-22924.473333333332</v>
      </c>
      <c r="AH78" s="33">
        <f>+W78-AD78</f>
        <v>-35000</v>
      </c>
      <c r="AI78" s="33">
        <f>+W78-AE78</f>
        <v>0</v>
      </c>
      <c r="AK78" s="33">
        <f>+Y78-AC78</f>
        <v>-22924.473333333332</v>
      </c>
      <c r="AL78" s="33">
        <f>+Y78-AD78</f>
        <v>-35000</v>
      </c>
      <c r="AM78" s="33">
        <f>+Y78-AE78</f>
        <v>0</v>
      </c>
    </row>
    <row r="79" spans="1:39" s="1" customFormat="1" ht="11.25" customHeight="1" x14ac:dyDescent="0.2">
      <c r="A79" s="26"/>
      <c r="B79" s="26"/>
      <c r="C79" s="26"/>
      <c r="D79" s="26"/>
      <c r="E79" s="26" t="s">
        <v>94</v>
      </c>
      <c r="F79" s="26"/>
      <c r="G79" s="26"/>
      <c r="H79" s="28"/>
      <c r="I79" s="28">
        <f>ROUND(SUM(I72:I78),5)</f>
        <v>0</v>
      </c>
      <c r="J79" s="28"/>
      <c r="K79" s="28">
        <f>ROUND(SUM(K72:K78),5)</f>
        <v>0</v>
      </c>
      <c r="L79" s="28"/>
      <c r="M79" s="28">
        <f>ROUND(SUM(M72:M78),5)</f>
        <v>35000</v>
      </c>
      <c r="N79" s="28"/>
      <c r="O79" s="28">
        <f>ROUND(SUM(O72:O78),5)</f>
        <v>0</v>
      </c>
      <c r="P79" s="28"/>
      <c r="Q79" s="28">
        <f>ROUND(SUM(Q72:Q78),5)</f>
        <v>67960.94</v>
      </c>
      <c r="R79" s="28"/>
      <c r="S79" s="9">
        <f>ROUND(SUM(S72:S78),5)</f>
        <v>49156.85</v>
      </c>
      <c r="T79" s="9"/>
      <c r="U79" s="9"/>
      <c r="V79" s="9"/>
      <c r="W79" s="9">
        <f>ROUND(SUM(W72:W78),5)</f>
        <v>82468</v>
      </c>
      <c r="X79" s="9"/>
      <c r="Y79" s="9">
        <f>ROUND(SUM(Y72:Y78),5)</f>
        <v>10000</v>
      </c>
      <c r="AA79" s="9">
        <f>ROUND(SUM(AA72:AA78),5)</f>
        <v>0</v>
      </c>
      <c r="AC79" s="28">
        <f t="shared" ref="AC79:AE79" si="41">ROUND(SUM(AC72:AC78),5)</f>
        <v>85164.083329999994</v>
      </c>
      <c r="AD79" s="28">
        <f t="shared" si="41"/>
        <v>45048.52</v>
      </c>
      <c r="AE79" s="28">
        <f t="shared" si="41"/>
        <v>7161</v>
      </c>
      <c r="AG79" s="28">
        <f t="shared" ref="AG79:AI79" si="42">ROUND(SUM(AG72:AG78),5)</f>
        <v>-23856.233329999999</v>
      </c>
      <c r="AH79" s="28">
        <f t="shared" si="42"/>
        <v>-37375.519999999997</v>
      </c>
      <c r="AI79" s="28">
        <f t="shared" si="42"/>
        <v>512</v>
      </c>
      <c r="AK79" s="28"/>
      <c r="AL79" s="28"/>
      <c r="AM79" s="28"/>
    </row>
    <row r="80" spans="1:39" s="1" customFormat="1" ht="11.25" customHeight="1" x14ac:dyDescent="0.2">
      <c r="A80" s="26"/>
      <c r="B80" s="26"/>
      <c r="C80" s="26"/>
      <c r="D80" s="26"/>
      <c r="E80" s="26" t="s">
        <v>95</v>
      </c>
      <c r="F80" s="26"/>
      <c r="G80" s="26"/>
      <c r="H80" s="28"/>
      <c r="I80" s="28"/>
      <c r="J80" s="28"/>
      <c r="K80" s="28"/>
      <c r="L80" s="28"/>
      <c r="M80" s="28"/>
      <c r="N80" s="28"/>
      <c r="O80" s="28"/>
      <c r="P80" s="28"/>
      <c r="Q80" s="28"/>
      <c r="R80" s="28"/>
      <c r="S80" s="9"/>
      <c r="T80" s="9"/>
      <c r="U80" s="9"/>
      <c r="V80" s="9"/>
      <c r="W80" s="9"/>
      <c r="X80" s="9"/>
      <c r="Y80" s="9"/>
      <c r="AA80" s="9"/>
      <c r="AC80" s="28"/>
      <c r="AD80" s="28"/>
      <c r="AE80" s="28"/>
      <c r="AG80" s="28"/>
      <c r="AH80" s="28"/>
      <c r="AI80" s="28"/>
      <c r="AK80" s="28"/>
      <c r="AL80" s="28"/>
      <c r="AM80" s="28"/>
    </row>
    <row r="81" spans="1:39" s="1" customFormat="1" ht="11.25" customHeight="1" x14ac:dyDescent="0.2">
      <c r="A81" s="26"/>
      <c r="B81" s="26"/>
      <c r="C81" s="26"/>
      <c r="D81" s="26"/>
      <c r="E81" s="26"/>
      <c r="F81" s="30" t="s">
        <v>96</v>
      </c>
      <c r="G81" s="26"/>
      <c r="H81" s="28"/>
      <c r="I81" s="28"/>
      <c r="J81" s="28"/>
      <c r="K81" s="28"/>
      <c r="L81" s="28"/>
      <c r="M81" s="28">
        <v>30000</v>
      </c>
      <c r="N81" s="28"/>
      <c r="O81" s="28">
        <v>60000</v>
      </c>
      <c r="P81" s="28"/>
      <c r="Q81" s="28">
        <v>60000</v>
      </c>
      <c r="R81" s="28"/>
      <c r="S81" s="9">
        <v>60000</v>
      </c>
      <c r="T81" s="9"/>
      <c r="U81" s="9"/>
      <c r="V81" s="9"/>
      <c r="W81" s="9">
        <v>0</v>
      </c>
      <c r="X81" s="9"/>
      <c r="Y81" s="9">
        <v>60000</v>
      </c>
      <c r="AA81" s="9"/>
      <c r="AC81" s="28">
        <f>AVERAGE(K81:S81)</f>
        <v>52500</v>
      </c>
      <c r="AD81" s="28">
        <f>MAX(K81:S81)</f>
        <v>60000</v>
      </c>
      <c r="AE81" s="28">
        <f>MIN(K81:S81)</f>
        <v>30000</v>
      </c>
      <c r="AG81" s="28">
        <f>+W81-AC81</f>
        <v>-52500</v>
      </c>
      <c r="AH81" s="28">
        <f>+W81-AD81</f>
        <v>-60000</v>
      </c>
      <c r="AI81" s="28">
        <f>+W81-AE81</f>
        <v>-30000</v>
      </c>
      <c r="AK81" s="28">
        <f>+Y81-AC81</f>
        <v>7500</v>
      </c>
      <c r="AL81" s="28">
        <f>+Y81-AD81</f>
        <v>0</v>
      </c>
      <c r="AM81" s="28">
        <f>+Y81-AE81</f>
        <v>30000</v>
      </c>
    </row>
    <row r="82" spans="1:39" s="1" customFormat="1" ht="11.25" customHeight="1" x14ac:dyDescent="0.2">
      <c r="A82" s="26"/>
      <c r="B82" s="26"/>
      <c r="C82" s="26"/>
      <c r="D82" s="26"/>
      <c r="E82" s="26"/>
      <c r="F82" s="26" t="s">
        <v>97</v>
      </c>
      <c r="G82" s="26"/>
      <c r="H82" s="28"/>
      <c r="I82" s="28"/>
      <c r="J82" s="28"/>
      <c r="K82" s="28"/>
      <c r="L82" s="28"/>
      <c r="M82" s="28">
        <v>37500</v>
      </c>
      <c r="N82" s="28"/>
      <c r="O82" s="28"/>
      <c r="P82" s="28"/>
      <c r="Q82" s="28">
        <v>37500</v>
      </c>
      <c r="R82" s="28"/>
      <c r="S82" s="9">
        <v>37500</v>
      </c>
      <c r="T82" s="9"/>
      <c r="U82" s="9"/>
      <c r="V82" s="9"/>
      <c r="W82" s="9">
        <v>37500</v>
      </c>
      <c r="X82" s="9"/>
      <c r="Y82" s="9">
        <v>37500</v>
      </c>
      <c r="AA82" s="9">
        <v>37500</v>
      </c>
      <c r="AC82" s="28">
        <f>AVERAGE(K82:S82)</f>
        <v>37500</v>
      </c>
      <c r="AD82" s="28">
        <f>MAX(K82:S82)</f>
        <v>37500</v>
      </c>
      <c r="AE82" s="28">
        <f>MIN(K82:S82)</f>
        <v>37500</v>
      </c>
      <c r="AG82" s="28">
        <f>+W82-AC82</f>
        <v>0</v>
      </c>
      <c r="AH82" s="28">
        <f>+W82-AD82</f>
        <v>0</v>
      </c>
      <c r="AI82" s="28">
        <f>+W82-AE82</f>
        <v>0</v>
      </c>
      <c r="AK82" s="28">
        <f>+Y82-AC82</f>
        <v>0</v>
      </c>
      <c r="AL82" s="28">
        <f>+Y82-AD82</f>
        <v>0</v>
      </c>
      <c r="AM82" s="28">
        <f>+Y82-AE82</f>
        <v>0</v>
      </c>
    </row>
    <row r="83" spans="1:39" s="1" customFormat="1" ht="12" customHeight="1" thickBot="1" x14ac:dyDescent="0.25">
      <c r="A83" s="26"/>
      <c r="B83" s="26"/>
      <c r="C83" s="26"/>
      <c r="D83" s="26"/>
      <c r="E83" s="26"/>
      <c r="F83" s="26" t="s">
        <v>98</v>
      </c>
      <c r="G83" s="26"/>
      <c r="H83" s="28"/>
      <c r="I83" s="31"/>
      <c r="J83" s="28"/>
      <c r="K83" s="31"/>
      <c r="L83" s="28"/>
      <c r="M83" s="31"/>
      <c r="N83" s="28"/>
      <c r="O83" s="31">
        <v>300000</v>
      </c>
      <c r="P83" s="31"/>
      <c r="Q83" s="28">
        <v>150000</v>
      </c>
      <c r="R83" s="28"/>
      <c r="S83" s="11"/>
      <c r="T83" s="11"/>
      <c r="U83" s="11"/>
      <c r="V83" s="9"/>
      <c r="W83" s="11"/>
      <c r="X83" s="9"/>
      <c r="Y83" s="11">
        <v>0</v>
      </c>
      <c r="AA83" s="11">
        <v>0</v>
      </c>
      <c r="AC83" s="31">
        <f>AVERAGE(K83:S83)</f>
        <v>225000</v>
      </c>
      <c r="AD83" s="31">
        <f>MAX(K83:S83)</f>
        <v>300000</v>
      </c>
      <c r="AE83" s="31">
        <f>MIN(K83:S83)</f>
        <v>150000</v>
      </c>
      <c r="AG83" s="31">
        <f>+W83-AC83</f>
        <v>-225000</v>
      </c>
      <c r="AH83" s="31">
        <f>+W83-AD83</f>
        <v>-300000</v>
      </c>
      <c r="AI83" s="31">
        <f>+W83-AE83</f>
        <v>-150000</v>
      </c>
      <c r="AK83" s="31">
        <f>+Y83-AC83</f>
        <v>-225000</v>
      </c>
      <c r="AL83" s="31">
        <f>+Y83-AD83</f>
        <v>-300000</v>
      </c>
      <c r="AM83" s="31">
        <f>+Y83-AE83</f>
        <v>-150000</v>
      </c>
    </row>
    <row r="84" spans="1:39" s="1" customFormat="1" ht="12" customHeight="1" thickBot="1" x14ac:dyDescent="0.25">
      <c r="A84" s="26"/>
      <c r="B84" s="26"/>
      <c r="C84" s="26"/>
      <c r="D84" s="26"/>
      <c r="E84" s="26" t="s">
        <v>99</v>
      </c>
      <c r="F84" s="26"/>
      <c r="G84" s="26"/>
      <c r="H84" s="28"/>
      <c r="I84" s="34">
        <f>ROUND(SUM(I80:I83),5)</f>
        <v>0</v>
      </c>
      <c r="J84" s="28"/>
      <c r="K84" s="34">
        <f>ROUND(SUM(K80:K83),5)</f>
        <v>0</v>
      </c>
      <c r="L84" s="28"/>
      <c r="M84" s="34">
        <f>ROUND(SUM(M80:M83),5)</f>
        <v>67500</v>
      </c>
      <c r="N84" s="28"/>
      <c r="O84" s="34">
        <f>ROUND(SUM(O80:O83),5)</f>
        <v>360000</v>
      </c>
      <c r="P84" s="34"/>
      <c r="Q84" s="34">
        <f>ROUND(SUM(Q80:Q83),5)</f>
        <v>247500</v>
      </c>
      <c r="R84" s="34"/>
      <c r="S84" s="15">
        <f>ROUND(SUM(S80:S83),5)</f>
        <v>97500</v>
      </c>
      <c r="T84" s="11"/>
      <c r="U84" s="11"/>
      <c r="V84" s="9"/>
      <c r="W84" s="15">
        <f>ROUND(SUM(W80:W83),5)</f>
        <v>37500</v>
      </c>
      <c r="X84" s="9"/>
      <c r="Y84" s="15">
        <f>ROUND(SUM(Y80:Y83),5)</f>
        <v>97500</v>
      </c>
      <c r="AA84" s="15">
        <f>ROUND(SUM(AA80:AA83),5)</f>
        <v>37500</v>
      </c>
      <c r="AC84" s="34">
        <f>ROUND(SUM(AC80:AC83),5)</f>
        <v>315000</v>
      </c>
      <c r="AD84" s="34">
        <f>ROUND(SUM(AD80:AD83),5)</f>
        <v>397500</v>
      </c>
      <c r="AE84" s="34">
        <f>ROUND(SUM(AE80:AE83),5)</f>
        <v>217500</v>
      </c>
      <c r="AG84" s="34">
        <f>ROUND(SUM(AG80:AG83),5)</f>
        <v>-277500</v>
      </c>
      <c r="AH84" s="34">
        <f>ROUND(SUM(AH80:AH83),5)</f>
        <v>-360000</v>
      </c>
      <c r="AI84" s="34">
        <f>ROUND(SUM(AI80:AI83),5)</f>
        <v>-180000</v>
      </c>
      <c r="AK84" s="34">
        <f>ROUND(SUM(AK80:AK83),5)</f>
        <v>-217500</v>
      </c>
      <c r="AL84" s="34">
        <f>ROUND(SUM(AL80:AL83),5)</f>
        <v>-300000</v>
      </c>
      <c r="AM84" s="34">
        <f>ROUND(SUM(AM80:AM83),5)</f>
        <v>-120000</v>
      </c>
    </row>
    <row r="85" spans="1:39" s="1" customFormat="1" ht="12" customHeight="1" thickBot="1" x14ac:dyDescent="0.25">
      <c r="A85" s="26"/>
      <c r="B85" s="26"/>
      <c r="C85" s="26"/>
      <c r="D85" s="26" t="s">
        <v>100</v>
      </c>
      <c r="E85" s="26"/>
      <c r="F85" s="26"/>
      <c r="G85" s="26"/>
      <c r="H85" s="28"/>
      <c r="I85" s="32">
        <f>ROUND(I4+I14+I33+I48+I62+I66+I71+I79+I84,5)</f>
        <v>3114940</v>
      </c>
      <c r="J85" s="28"/>
      <c r="K85" s="32">
        <f>ROUND(K4+K14+K33+K48+K62+K66+K71+K79+K84,5)</f>
        <v>3343296</v>
      </c>
      <c r="L85" s="28"/>
      <c r="M85" s="32">
        <f>ROUND(M4+M14+M33+M48+M62+M66+M71+M79+M84,5)</f>
        <v>3585618</v>
      </c>
      <c r="N85" s="28"/>
      <c r="O85" s="32">
        <f>ROUND(O4+O14+O33+O48+O62+O66+O71+O79+O84,5)</f>
        <v>3852059.68</v>
      </c>
      <c r="P85" s="32"/>
      <c r="Q85" s="32">
        <f>ROUND(Q4+Q14+Q33+Q48+Q62+Q66+Q71+Q79+Q84,5)</f>
        <v>4089773.72</v>
      </c>
      <c r="R85" s="32"/>
      <c r="S85" s="12">
        <f>ROUND(S4+S14+S33+S48+S62+S66+S71+S79+S84,5)</f>
        <v>3595486.06</v>
      </c>
      <c r="T85" s="11"/>
      <c r="U85" s="11"/>
      <c r="V85" s="9"/>
      <c r="W85" s="12">
        <f>ROUND(W4+W14+W33+W48+W62+W66+W71+W79+W84,5)</f>
        <v>3859614.86</v>
      </c>
      <c r="X85" s="9"/>
      <c r="Y85" s="12">
        <f>ROUND(Y4+Y14+Y33+Y48+Y62+Y66+Y71+Y79+Y84,5)</f>
        <v>3704050</v>
      </c>
      <c r="AA85" s="12">
        <f>ROUND(AA4+AA14+AA33+AA48+AA62+AA66+AA71+AA79+AA84,5)</f>
        <v>3729200</v>
      </c>
      <c r="AC85" s="32">
        <f>ROUND(AC4+AC14+AC33+AC48+AC62+AC66+AC71+AC79+AC84,5)</f>
        <v>3820090.7680000002</v>
      </c>
      <c r="AD85" s="32">
        <f>ROUND(AD4+AD14+AD33+AD48+AD62+AD66+AD71+AD79+AD84,5)</f>
        <v>4396318.49</v>
      </c>
      <c r="AE85" s="32">
        <f>ROUND(AE4+AE14+AE33+AE48+AE62+AE66+AE71+AE79+AE84,5)</f>
        <v>2968194.23</v>
      </c>
      <c r="AG85" s="32">
        <f>ROUND(AG4+AG14+AG33+AG48+AG62+AG66+AG71+AG79+AG84,5)</f>
        <v>-138648.05100000001</v>
      </c>
      <c r="AH85" s="32">
        <f>ROUND(AH4+AH14+AH33+AH48+AH62+AH66+AH71+AH79+AH84,5)</f>
        <v>-797016.12</v>
      </c>
      <c r="AI85" s="32">
        <f>ROUND(AI4+AI14+AI33+AI48+AI62+AI66+AI71+AI79+AI84,5)</f>
        <v>622203</v>
      </c>
      <c r="AK85" s="32">
        <f>ROUND(AK4+AK14+AK33+AK48+AK62+AK66+AK71+AK79+AK84,5)</f>
        <v>-217500</v>
      </c>
      <c r="AL85" s="32">
        <f>ROUND(AL4+AL14+AL33+AL48+AL62+AL66+AL71+AL79+AL84,5)</f>
        <v>-300000</v>
      </c>
      <c r="AM85" s="32">
        <f>ROUND(AM4+AM14+AM33+AM48+AM62+AM66+AM71+AM79+AM84,5)</f>
        <v>-120000</v>
      </c>
    </row>
    <row r="86" spans="1:39" s="1" customFormat="1" ht="11.25" customHeight="1" x14ac:dyDescent="0.2">
      <c r="A86" s="26"/>
      <c r="B86" s="26"/>
      <c r="C86" s="26" t="s">
        <v>101</v>
      </c>
      <c r="D86" s="26"/>
      <c r="E86" s="26"/>
      <c r="F86" s="26"/>
      <c r="G86" s="26"/>
      <c r="H86" s="28"/>
      <c r="I86" s="28">
        <f>I85</f>
        <v>3114940</v>
      </c>
      <c r="J86" s="28"/>
      <c r="K86" s="28">
        <f>K85</f>
        <v>3343296</v>
      </c>
      <c r="L86" s="28"/>
      <c r="M86" s="28">
        <f>M85</f>
        <v>3585618</v>
      </c>
      <c r="N86" s="28"/>
      <c r="O86" s="28">
        <f>O85</f>
        <v>3852059.68</v>
      </c>
      <c r="P86" s="28"/>
      <c r="Q86" s="28">
        <f>Q85</f>
        <v>4089773.72</v>
      </c>
      <c r="R86" s="28"/>
      <c r="S86" s="9">
        <f>S85</f>
        <v>3595486.06</v>
      </c>
      <c r="T86" s="9"/>
      <c r="U86" s="9"/>
      <c r="V86" s="9"/>
      <c r="W86" s="9">
        <f>W85</f>
        <v>3859614.86</v>
      </c>
      <c r="X86" s="9"/>
      <c r="Y86" s="9">
        <f>Y85</f>
        <v>3704050</v>
      </c>
      <c r="AA86" s="9">
        <f>AA85</f>
        <v>3729200</v>
      </c>
      <c r="AC86" s="28">
        <f>AC85</f>
        <v>3820090.7680000002</v>
      </c>
      <c r="AD86" s="28">
        <f>AD85</f>
        <v>4396318.49</v>
      </c>
      <c r="AE86" s="28">
        <f>AE85</f>
        <v>2968194.23</v>
      </c>
      <c r="AG86" s="28">
        <f>AG85</f>
        <v>-138648.05100000001</v>
      </c>
      <c r="AH86" s="28">
        <f>AH85</f>
        <v>-797016.12</v>
      </c>
      <c r="AI86" s="28">
        <f>AI85</f>
        <v>622203</v>
      </c>
      <c r="AK86" s="28">
        <f>AK85</f>
        <v>-217500</v>
      </c>
      <c r="AL86" s="28">
        <f>AL85</f>
        <v>-300000</v>
      </c>
      <c r="AM86" s="28">
        <f>AM85</f>
        <v>-120000</v>
      </c>
    </row>
    <row r="87" spans="1:39" s="1" customFormat="1" ht="11.25" customHeight="1" x14ac:dyDescent="0.2">
      <c r="A87" s="26"/>
      <c r="B87" s="26"/>
      <c r="C87" s="26"/>
      <c r="D87" s="26"/>
      <c r="E87" s="26"/>
      <c r="F87" s="26"/>
      <c r="G87" s="26"/>
      <c r="H87" s="28"/>
      <c r="I87" s="28"/>
      <c r="J87" s="28"/>
      <c r="K87" s="28"/>
      <c r="L87" s="28"/>
      <c r="M87" s="28"/>
      <c r="N87" s="28"/>
      <c r="O87" s="28"/>
      <c r="P87" s="28"/>
      <c r="Q87" s="28"/>
      <c r="R87" s="28"/>
      <c r="S87" s="9"/>
      <c r="T87" s="9"/>
      <c r="U87" s="9"/>
      <c r="V87" s="9"/>
      <c r="W87" s="9"/>
      <c r="X87" s="9"/>
      <c r="Y87" s="9"/>
      <c r="AA87" s="9"/>
      <c r="AC87" s="28"/>
      <c r="AD87" s="28"/>
      <c r="AE87" s="28"/>
      <c r="AG87" s="28"/>
      <c r="AH87" s="28"/>
      <c r="AI87" s="28"/>
      <c r="AK87" s="28"/>
      <c r="AL87" s="28"/>
      <c r="AM87" s="28"/>
    </row>
    <row r="88" spans="1:39" s="1" customFormat="1" ht="11.25" customHeight="1" x14ac:dyDescent="0.2">
      <c r="A88" s="26"/>
      <c r="B88" s="26"/>
      <c r="C88" s="26"/>
      <c r="D88" s="35" t="s">
        <v>102</v>
      </c>
      <c r="E88" s="26"/>
      <c r="F88" s="26"/>
      <c r="G88" s="26"/>
      <c r="H88" s="28"/>
      <c r="I88" s="28"/>
      <c r="J88" s="28"/>
      <c r="K88" s="28"/>
      <c r="L88" s="28"/>
      <c r="M88" s="28"/>
      <c r="N88" s="28"/>
      <c r="O88" s="28"/>
      <c r="P88" s="28"/>
      <c r="Q88" s="28"/>
      <c r="R88" s="28"/>
      <c r="S88" s="9"/>
      <c r="T88" s="9"/>
      <c r="U88" s="9"/>
      <c r="V88" s="9"/>
      <c r="W88" s="9"/>
      <c r="X88" s="9"/>
      <c r="Y88" s="9"/>
      <c r="AA88" s="9"/>
      <c r="AC88" s="28"/>
      <c r="AD88" s="28"/>
      <c r="AE88" s="28"/>
      <c r="AG88" s="28"/>
      <c r="AH88" s="28"/>
      <c r="AI88" s="28"/>
      <c r="AK88" s="28"/>
      <c r="AL88" s="28"/>
      <c r="AM88" s="28"/>
    </row>
    <row r="89" spans="1:39" s="1" customFormat="1" ht="11.25" customHeight="1" x14ac:dyDescent="0.2">
      <c r="A89" s="26"/>
      <c r="B89" s="26"/>
      <c r="C89" s="26"/>
      <c r="D89" s="26"/>
      <c r="E89" s="26"/>
      <c r="F89" s="26"/>
      <c r="G89" s="26"/>
      <c r="H89" s="28"/>
      <c r="I89" s="28"/>
      <c r="J89" s="28"/>
      <c r="K89" s="28"/>
      <c r="L89" s="28"/>
      <c r="M89" s="28"/>
      <c r="N89" s="28"/>
      <c r="O89" s="28"/>
      <c r="P89" s="28"/>
      <c r="Q89" s="28"/>
      <c r="R89" s="28"/>
      <c r="S89" s="9"/>
      <c r="T89" s="9"/>
      <c r="U89" s="9"/>
      <c r="V89" s="9"/>
      <c r="W89" s="9"/>
      <c r="X89" s="9"/>
      <c r="Y89" s="9"/>
      <c r="AA89" s="9"/>
      <c r="AC89" s="28"/>
      <c r="AD89" s="28"/>
      <c r="AE89" s="28"/>
      <c r="AG89" s="28"/>
      <c r="AH89" s="28"/>
      <c r="AI89" s="28"/>
      <c r="AK89" s="28"/>
      <c r="AL89" s="28"/>
      <c r="AM89" s="28"/>
    </row>
    <row r="90" spans="1:39" s="1" customFormat="1" ht="11.25" customHeight="1" x14ac:dyDescent="0.2">
      <c r="A90" s="26"/>
      <c r="B90" s="26"/>
      <c r="C90" s="26"/>
      <c r="D90" s="26"/>
      <c r="E90" s="35" t="s">
        <v>103</v>
      </c>
      <c r="F90" s="26"/>
      <c r="G90" s="26"/>
      <c r="H90" s="28"/>
      <c r="I90" s="28"/>
      <c r="J90" s="28"/>
      <c r="K90" s="28"/>
      <c r="L90" s="28"/>
      <c r="M90" s="28"/>
      <c r="N90" s="28"/>
      <c r="O90" s="28"/>
      <c r="P90" s="28"/>
      <c r="Q90" s="28"/>
      <c r="R90" s="28"/>
      <c r="S90" s="9"/>
      <c r="T90" s="9"/>
      <c r="U90" s="9"/>
      <c r="V90" s="9"/>
      <c r="W90" s="9"/>
      <c r="X90" s="9"/>
      <c r="Y90" s="9"/>
      <c r="AA90" s="9"/>
      <c r="AC90" s="28"/>
      <c r="AD90" s="28"/>
      <c r="AE90" s="28"/>
      <c r="AG90" s="28"/>
      <c r="AH90" s="28"/>
      <c r="AI90" s="28"/>
      <c r="AK90" s="28"/>
      <c r="AL90" s="28"/>
      <c r="AM90" s="28"/>
    </row>
    <row r="91" spans="1:39" s="1" customFormat="1" ht="11.25" customHeight="1" x14ac:dyDescent="0.2">
      <c r="A91" s="26"/>
      <c r="B91" s="26"/>
      <c r="C91" s="26"/>
      <c r="D91" s="26"/>
      <c r="E91" s="26"/>
      <c r="F91" s="26" t="s">
        <v>104</v>
      </c>
      <c r="G91" s="26"/>
      <c r="H91" s="28"/>
      <c r="I91" s="28"/>
      <c r="J91" s="28"/>
      <c r="K91" s="28"/>
      <c r="L91" s="28"/>
      <c r="M91" s="28"/>
      <c r="N91" s="28"/>
      <c r="O91" s="28"/>
      <c r="P91" s="28"/>
      <c r="Q91" s="28"/>
      <c r="R91" s="28"/>
      <c r="S91" s="9"/>
      <c r="T91" s="9"/>
      <c r="U91" s="9"/>
      <c r="V91" s="9"/>
      <c r="W91" s="9"/>
      <c r="X91" s="9"/>
      <c r="Y91" s="9"/>
      <c r="AA91" s="9"/>
      <c r="AC91" s="28"/>
      <c r="AD91" s="28"/>
      <c r="AE91" s="28"/>
      <c r="AG91" s="28"/>
      <c r="AH91" s="28"/>
      <c r="AI91" s="28"/>
      <c r="AK91" s="28"/>
      <c r="AL91" s="28"/>
      <c r="AM91" s="28"/>
    </row>
    <row r="92" spans="1:39" s="1" customFormat="1" ht="11.25" customHeight="1" x14ac:dyDescent="0.2">
      <c r="A92" s="26"/>
      <c r="B92" s="26"/>
      <c r="C92" s="26"/>
      <c r="D92" s="26"/>
      <c r="E92" s="26"/>
      <c r="F92" s="26"/>
      <c r="G92" s="26" t="s">
        <v>105</v>
      </c>
      <c r="H92" s="28"/>
      <c r="I92" s="28">
        <v>26666</v>
      </c>
      <c r="J92" s="28"/>
      <c r="K92" s="28">
        <v>29236</v>
      </c>
      <c r="L92" s="28"/>
      <c r="M92" s="28">
        <v>32191</v>
      </c>
      <c r="N92" s="28"/>
      <c r="O92" s="28">
        <v>32213.9</v>
      </c>
      <c r="P92" s="28"/>
      <c r="Q92" s="28">
        <v>27207.599999999999</v>
      </c>
      <c r="R92" s="28"/>
      <c r="S92" s="9">
        <v>30200.17</v>
      </c>
      <c r="T92" s="9"/>
      <c r="U92" s="9"/>
      <c r="V92" s="9"/>
      <c r="W92" s="9">
        <f>23754.79+15</f>
        <v>23769.79</v>
      </c>
      <c r="X92" s="9"/>
      <c r="Y92" s="9">
        <v>35000</v>
      </c>
      <c r="AA92" s="9">
        <v>35000</v>
      </c>
      <c r="AC92" s="28">
        <f t="shared" ref="AC92:AC110" si="43">AVERAGE(K92:S92)</f>
        <v>30209.733999999997</v>
      </c>
      <c r="AD92" s="28">
        <f t="shared" ref="AD92:AD115" si="44">MAX(K92:S92)</f>
        <v>32213.9</v>
      </c>
      <c r="AE92" s="28">
        <f t="shared" ref="AE92:AE115" si="45">MIN(K92:S92)</f>
        <v>27207.599999999999</v>
      </c>
      <c r="AG92" s="28">
        <f t="shared" ref="AG92:AG113" si="46">+W92-AC92</f>
        <v>-6439.9439999999959</v>
      </c>
      <c r="AH92" s="28">
        <f t="shared" ref="AH92:AH113" si="47">+W92-AD92</f>
        <v>-8444.11</v>
      </c>
      <c r="AI92" s="28">
        <f t="shared" ref="AI92:AI113" si="48">+W92-AE92</f>
        <v>-3437.8099999999977</v>
      </c>
      <c r="AK92" s="28">
        <f t="shared" ref="AK92:AK110" si="49">+Y92-AC92</f>
        <v>4790.2660000000033</v>
      </c>
      <c r="AL92" s="28">
        <f t="shared" ref="AL92:AL115" si="50">+Y92-AD92</f>
        <v>2786.0999999999985</v>
      </c>
      <c r="AM92" s="28">
        <f t="shared" ref="AM92:AM115" si="51">+Y92-AE92</f>
        <v>7792.4000000000015</v>
      </c>
    </row>
    <row r="93" spans="1:39" s="1" customFormat="1" ht="11.25" customHeight="1" x14ac:dyDescent="0.2">
      <c r="A93" s="26"/>
      <c r="B93" s="26"/>
      <c r="C93" s="26"/>
      <c r="D93" s="26"/>
      <c r="E93" s="26"/>
      <c r="F93" s="26"/>
      <c r="G93" s="26" t="s">
        <v>106</v>
      </c>
      <c r="H93" s="28"/>
      <c r="I93" s="28">
        <v>5765</v>
      </c>
      <c r="J93" s="28"/>
      <c r="K93" s="28">
        <v>6464</v>
      </c>
      <c r="L93" s="28"/>
      <c r="M93" s="28">
        <v>6041</v>
      </c>
      <c r="N93" s="28"/>
      <c r="O93" s="28">
        <v>7678.54</v>
      </c>
      <c r="P93" s="28"/>
      <c r="Q93" s="28">
        <v>6378.18</v>
      </c>
      <c r="R93" s="28"/>
      <c r="S93" s="9">
        <v>6186.78</v>
      </c>
      <c r="T93" s="9"/>
      <c r="U93" s="9"/>
      <c r="V93" s="9"/>
      <c r="W93" s="9">
        <v>14892.03</v>
      </c>
      <c r="X93" s="9"/>
      <c r="Y93" s="9">
        <v>6000</v>
      </c>
      <c r="AA93" s="9">
        <f>0.01*(AA7+AA8)</f>
        <v>7500</v>
      </c>
      <c r="AC93" s="28">
        <f t="shared" si="43"/>
        <v>6549.7</v>
      </c>
      <c r="AD93" s="28">
        <f t="shared" si="44"/>
        <v>7678.54</v>
      </c>
      <c r="AE93" s="28">
        <f t="shared" si="45"/>
        <v>6041</v>
      </c>
      <c r="AG93" s="28">
        <f t="shared" si="46"/>
        <v>8342.3300000000017</v>
      </c>
      <c r="AH93" s="28">
        <f t="shared" si="47"/>
        <v>7213.4900000000007</v>
      </c>
      <c r="AI93" s="28">
        <f t="shared" si="48"/>
        <v>8851.0300000000007</v>
      </c>
      <c r="AK93" s="28">
        <f t="shared" si="49"/>
        <v>-549.69999999999982</v>
      </c>
      <c r="AL93" s="28">
        <f t="shared" si="50"/>
        <v>-1678.54</v>
      </c>
      <c r="AM93" s="28">
        <f t="shared" si="51"/>
        <v>-41</v>
      </c>
    </row>
    <row r="94" spans="1:39" s="1" customFormat="1" ht="11.25" customHeight="1" x14ac:dyDescent="0.2">
      <c r="A94" s="26"/>
      <c r="B94" s="26"/>
      <c r="C94" s="26"/>
      <c r="D94" s="26"/>
      <c r="E94" s="26"/>
      <c r="F94" s="26"/>
      <c r="G94" s="26" t="s">
        <v>107</v>
      </c>
      <c r="H94" s="28"/>
      <c r="I94" s="28">
        <v>10396</v>
      </c>
      <c r="J94" s="28"/>
      <c r="K94" s="28">
        <v>15145</v>
      </c>
      <c r="L94" s="28"/>
      <c r="M94" s="28">
        <v>9080</v>
      </c>
      <c r="N94" s="28"/>
      <c r="O94" s="28">
        <v>6545.68</v>
      </c>
      <c r="P94" s="28"/>
      <c r="Q94" s="28">
        <v>11182.13</v>
      </c>
      <c r="R94" s="28"/>
      <c r="S94" s="9">
        <v>2943.03</v>
      </c>
      <c r="T94" s="9"/>
      <c r="U94" s="9"/>
      <c r="V94" s="9"/>
      <c r="W94" s="9">
        <v>1906.52</v>
      </c>
      <c r="X94" s="9"/>
      <c r="Y94" s="9">
        <v>3000</v>
      </c>
      <c r="AA94" s="9">
        <v>0</v>
      </c>
      <c r="AC94" s="28">
        <f t="shared" si="43"/>
        <v>8979.1679999999997</v>
      </c>
      <c r="AD94" s="28">
        <f t="shared" si="44"/>
        <v>15145</v>
      </c>
      <c r="AE94" s="28">
        <f t="shared" si="45"/>
        <v>2943.03</v>
      </c>
      <c r="AG94" s="28">
        <f t="shared" si="46"/>
        <v>-7072.6479999999992</v>
      </c>
      <c r="AH94" s="28">
        <f t="shared" si="47"/>
        <v>-13238.48</v>
      </c>
      <c r="AI94" s="28">
        <f t="shared" si="48"/>
        <v>-1036.5100000000002</v>
      </c>
      <c r="AK94" s="28">
        <f t="shared" si="49"/>
        <v>-5979.1679999999997</v>
      </c>
      <c r="AL94" s="28">
        <f t="shared" si="50"/>
        <v>-12145</v>
      </c>
      <c r="AM94" s="28">
        <f t="shared" si="51"/>
        <v>56.9699999999998</v>
      </c>
    </row>
    <row r="95" spans="1:39" s="16" customFormat="1" ht="11.25" customHeight="1" x14ac:dyDescent="0.2">
      <c r="A95" s="26"/>
      <c r="B95" s="26"/>
      <c r="C95" s="26"/>
      <c r="D95" s="26"/>
      <c r="E95" s="26"/>
      <c r="F95" s="1"/>
      <c r="G95" s="26" t="s">
        <v>108</v>
      </c>
      <c r="H95" s="28"/>
      <c r="I95" s="31"/>
      <c r="J95" s="31"/>
      <c r="K95" s="31">
        <v>657</v>
      </c>
      <c r="L95" s="31"/>
      <c r="M95" s="31">
        <v>1272</v>
      </c>
      <c r="N95" s="31"/>
      <c r="O95" s="31">
        <v>1614.58</v>
      </c>
      <c r="P95" s="31"/>
      <c r="Q95" s="31">
        <v>1630.56</v>
      </c>
      <c r="R95" s="31"/>
      <c r="S95" s="9">
        <v>2987.59</v>
      </c>
      <c r="T95" s="11"/>
      <c r="U95" s="11"/>
      <c r="V95" s="11"/>
      <c r="W95" s="9">
        <v>3126.52</v>
      </c>
      <c r="X95" s="11"/>
      <c r="Y95" s="11">
        <v>3000</v>
      </c>
      <c r="AA95" s="11">
        <v>3000</v>
      </c>
      <c r="AC95" s="31">
        <f t="shared" si="43"/>
        <v>1632.346</v>
      </c>
      <c r="AD95" s="31">
        <f t="shared" si="44"/>
        <v>2987.59</v>
      </c>
      <c r="AE95" s="31">
        <f t="shared" si="45"/>
        <v>657</v>
      </c>
      <c r="AG95" s="31">
        <f t="shared" si="46"/>
        <v>1494.174</v>
      </c>
      <c r="AH95" s="31">
        <f t="shared" si="47"/>
        <v>138.92999999999984</v>
      </c>
      <c r="AI95" s="31">
        <f t="shared" si="48"/>
        <v>2469.52</v>
      </c>
      <c r="AK95" s="31">
        <f t="shared" si="49"/>
        <v>1367.654</v>
      </c>
      <c r="AL95" s="31">
        <f t="shared" si="50"/>
        <v>12.409999999999854</v>
      </c>
      <c r="AM95" s="31">
        <f t="shared" si="51"/>
        <v>2343</v>
      </c>
    </row>
    <row r="96" spans="1:39" s="1" customFormat="1" ht="11.25" customHeight="1" x14ac:dyDescent="0.2">
      <c r="A96" s="26"/>
      <c r="B96" s="26"/>
      <c r="C96" s="26"/>
      <c r="D96" s="26"/>
      <c r="E96" s="26"/>
      <c r="F96" s="26"/>
      <c r="G96" s="26" t="s">
        <v>109</v>
      </c>
      <c r="H96" s="28"/>
      <c r="I96" s="28">
        <v>3429</v>
      </c>
      <c r="J96" s="28"/>
      <c r="K96" s="28">
        <v>3112</v>
      </c>
      <c r="L96" s="28"/>
      <c r="M96" s="28">
        <v>3688</v>
      </c>
      <c r="N96" s="28"/>
      <c r="O96" s="28">
        <v>9563.14</v>
      </c>
      <c r="P96" s="28"/>
      <c r="Q96" s="28">
        <v>1915.3</v>
      </c>
      <c r="R96" s="28"/>
      <c r="S96" s="9">
        <v>5869.79</v>
      </c>
      <c r="T96" s="9"/>
      <c r="U96" s="9"/>
      <c r="V96" s="9"/>
      <c r="W96" s="9">
        <v>297.83</v>
      </c>
      <c r="X96" s="9"/>
      <c r="Y96" s="9">
        <v>5000</v>
      </c>
      <c r="AA96" s="9">
        <v>2000</v>
      </c>
      <c r="AC96" s="28">
        <f t="shared" si="43"/>
        <v>4829.6459999999997</v>
      </c>
      <c r="AD96" s="28">
        <f t="shared" si="44"/>
        <v>9563.14</v>
      </c>
      <c r="AE96" s="28">
        <f t="shared" si="45"/>
        <v>1915.3</v>
      </c>
      <c r="AG96" s="28">
        <f t="shared" si="46"/>
        <v>-4531.8159999999998</v>
      </c>
      <c r="AH96" s="28">
        <f t="shared" si="47"/>
        <v>-9265.31</v>
      </c>
      <c r="AI96" s="28">
        <f t="shared" si="48"/>
        <v>-1617.47</v>
      </c>
      <c r="AK96" s="28">
        <f t="shared" si="49"/>
        <v>170.35400000000027</v>
      </c>
      <c r="AL96" s="28">
        <f t="shared" si="50"/>
        <v>-4563.1399999999994</v>
      </c>
      <c r="AM96" s="28">
        <f t="shared" si="51"/>
        <v>3084.7</v>
      </c>
    </row>
    <row r="97" spans="1:39" s="1" customFormat="1" ht="11.25" customHeight="1" x14ac:dyDescent="0.2">
      <c r="A97" s="26"/>
      <c r="B97" s="26"/>
      <c r="C97" s="26"/>
      <c r="D97" s="26"/>
      <c r="E97" s="26"/>
      <c r="F97" s="26"/>
      <c r="G97" s="26" t="s">
        <v>110</v>
      </c>
      <c r="H97" s="28"/>
      <c r="I97" s="28">
        <v>4204</v>
      </c>
      <c r="J97" s="28"/>
      <c r="K97" s="28">
        <v>4860</v>
      </c>
      <c r="L97" s="28"/>
      <c r="M97" s="28">
        <v>2019</v>
      </c>
      <c r="N97" s="28"/>
      <c r="O97" s="28">
        <v>2233.83</v>
      </c>
      <c r="P97" s="28"/>
      <c r="Q97" s="28">
        <v>1404.87</v>
      </c>
      <c r="R97" s="28"/>
      <c r="S97" s="9">
        <v>1932.39</v>
      </c>
      <c r="T97" s="9"/>
      <c r="U97" s="9"/>
      <c r="V97" s="9"/>
      <c r="W97" s="9">
        <v>6202.05</v>
      </c>
      <c r="X97" s="9"/>
      <c r="Y97" s="9">
        <v>2000</v>
      </c>
      <c r="AA97" s="9">
        <v>5000</v>
      </c>
      <c r="AC97" s="28">
        <f t="shared" si="43"/>
        <v>2490.018</v>
      </c>
      <c r="AD97" s="28">
        <f t="shared" si="44"/>
        <v>4860</v>
      </c>
      <c r="AE97" s="28">
        <f t="shared" si="45"/>
        <v>1404.87</v>
      </c>
      <c r="AG97" s="28">
        <f t="shared" si="46"/>
        <v>3712.0320000000002</v>
      </c>
      <c r="AH97" s="28">
        <f t="shared" si="47"/>
        <v>1342.0500000000002</v>
      </c>
      <c r="AI97" s="28">
        <f t="shared" si="48"/>
        <v>4797.18</v>
      </c>
      <c r="AK97" s="28">
        <f t="shared" si="49"/>
        <v>-490.01800000000003</v>
      </c>
      <c r="AL97" s="28">
        <f t="shared" si="50"/>
        <v>-2860</v>
      </c>
      <c r="AM97" s="28">
        <f t="shared" si="51"/>
        <v>595.13000000000011</v>
      </c>
    </row>
    <row r="98" spans="1:39" s="1" customFormat="1" ht="11.25" customHeight="1" x14ac:dyDescent="0.2">
      <c r="A98" s="26"/>
      <c r="B98" s="26"/>
      <c r="C98" s="26"/>
      <c r="D98" s="26"/>
      <c r="E98" s="26"/>
      <c r="F98" s="26"/>
      <c r="G98" s="30" t="s">
        <v>111</v>
      </c>
      <c r="H98" s="28"/>
      <c r="I98" s="28">
        <v>5150</v>
      </c>
      <c r="J98" s="28"/>
      <c r="K98" s="28">
        <v>6650</v>
      </c>
      <c r="L98" s="28"/>
      <c r="M98" s="28">
        <v>6450</v>
      </c>
      <c r="N98" s="28"/>
      <c r="O98" s="28">
        <v>18624.55</v>
      </c>
      <c r="P98" s="28"/>
      <c r="Q98" s="28">
        <v>6303.43</v>
      </c>
      <c r="R98" s="28"/>
      <c r="S98" s="9">
        <v>7112.9</v>
      </c>
      <c r="T98" s="9"/>
      <c r="U98" s="9"/>
      <c r="V98" s="9"/>
      <c r="W98" s="9">
        <v>0</v>
      </c>
      <c r="X98" s="9"/>
      <c r="Y98" s="9">
        <v>7500</v>
      </c>
      <c r="AA98" s="9">
        <v>5000</v>
      </c>
      <c r="AC98" s="28">
        <f t="shared" si="43"/>
        <v>9028.1759999999995</v>
      </c>
      <c r="AD98" s="28">
        <f t="shared" si="44"/>
        <v>18624.55</v>
      </c>
      <c r="AE98" s="28">
        <f t="shared" si="45"/>
        <v>6303.43</v>
      </c>
      <c r="AG98" s="28">
        <f t="shared" si="46"/>
        <v>-9028.1759999999995</v>
      </c>
      <c r="AH98" s="28">
        <f t="shared" si="47"/>
        <v>-18624.55</v>
      </c>
      <c r="AI98" s="28">
        <f t="shared" si="48"/>
        <v>-6303.43</v>
      </c>
      <c r="AK98" s="28">
        <f t="shared" si="49"/>
        <v>-1528.1759999999995</v>
      </c>
      <c r="AL98" s="28">
        <f t="shared" si="50"/>
        <v>-11124.55</v>
      </c>
      <c r="AM98" s="28">
        <f t="shared" si="51"/>
        <v>1196.5699999999997</v>
      </c>
    </row>
    <row r="99" spans="1:39" s="1" customFormat="1" ht="11.25" customHeight="1" x14ac:dyDescent="0.2">
      <c r="A99" s="26"/>
      <c r="B99" s="26"/>
      <c r="C99" s="26"/>
      <c r="D99" s="26"/>
      <c r="E99" s="26"/>
      <c r="F99" s="26"/>
      <c r="G99" s="30" t="s">
        <v>112</v>
      </c>
      <c r="H99" s="28"/>
      <c r="I99" s="28">
        <v>3997</v>
      </c>
      <c r="J99" s="28"/>
      <c r="K99" s="28">
        <v>5190</v>
      </c>
      <c r="L99" s="28"/>
      <c r="M99" s="28">
        <v>6583</v>
      </c>
      <c r="N99" s="28"/>
      <c r="O99" s="28">
        <v>2189.41</v>
      </c>
      <c r="P99" s="28"/>
      <c r="Q99" s="28">
        <v>1305</v>
      </c>
      <c r="R99" s="28"/>
      <c r="S99" s="9">
        <v>2799.97</v>
      </c>
      <c r="T99" s="9"/>
      <c r="U99" s="9"/>
      <c r="V99" s="9"/>
      <c r="W99" s="9">
        <v>1195</v>
      </c>
      <c r="X99" s="9"/>
      <c r="Y99" s="9">
        <v>5000</v>
      </c>
      <c r="AA99" s="9">
        <v>3000</v>
      </c>
      <c r="AC99" s="28">
        <f t="shared" si="43"/>
        <v>3613.4760000000001</v>
      </c>
      <c r="AD99" s="28">
        <f t="shared" si="44"/>
        <v>6583</v>
      </c>
      <c r="AE99" s="28">
        <f t="shared" si="45"/>
        <v>1305</v>
      </c>
      <c r="AG99" s="28">
        <f t="shared" si="46"/>
        <v>-2418.4760000000001</v>
      </c>
      <c r="AH99" s="28">
        <f t="shared" si="47"/>
        <v>-5388</v>
      </c>
      <c r="AI99" s="28">
        <f t="shared" si="48"/>
        <v>-110</v>
      </c>
      <c r="AK99" s="28">
        <f t="shared" si="49"/>
        <v>1386.5239999999999</v>
      </c>
      <c r="AL99" s="28">
        <f t="shared" si="50"/>
        <v>-1583</v>
      </c>
      <c r="AM99" s="28">
        <f t="shared" si="51"/>
        <v>3695</v>
      </c>
    </row>
    <row r="100" spans="1:39" s="1" customFormat="1" ht="11.25" customHeight="1" x14ac:dyDescent="0.2">
      <c r="A100" s="26"/>
      <c r="B100" s="26"/>
      <c r="C100" s="26"/>
      <c r="D100" s="26"/>
      <c r="E100" s="26"/>
      <c r="F100" s="26"/>
      <c r="G100" s="26" t="s">
        <v>113</v>
      </c>
      <c r="H100" s="28"/>
      <c r="I100" s="28">
        <v>81313</v>
      </c>
      <c r="J100" s="28"/>
      <c r="K100" s="28">
        <v>106812</v>
      </c>
      <c r="L100" s="28"/>
      <c r="M100" s="28">
        <v>69269</v>
      </c>
      <c r="N100" s="28"/>
      <c r="O100" s="28">
        <v>36606.35</v>
      </c>
      <c r="P100" s="28"/>
      <c r="Q100" s="28">
        <v>93775.72</v>
      </c>
      <c r="R100" s="28"/>
      <c r="S100" s="9">
        <v>67444.77</v>
      </c>
      <c r="T100" s="9"/>
      <c r="U100" s="9"/>
      <c r="V100" s="9"/>
      <c r="W100" s="9">
        <v>51347.19</v>
      </c>
      <c r="X100" s="9"/>
      <c r="Y100" s="9">
        <v>63000</v>
      </c>
      <c r="AA100" s="9">
        <v>60000</v>
      </c>
      <c r="AC100" s="28">
        <f t="shared" si="43"/>
        <v>74781.567999999999</v>
      </c>
      <c r="AD100" s="28">
        <f t="shared" si="44"/>
        <v>106812</v>
      </c>
      <c r="AE100" s="28">
        <f t="shared" si="45"/>
        <v>36606.35</v>
      </c>
      <c r="AG100" s="28">
        <f t="shared" si="46"/>
        <v>-23434.377999999997</v>
      </c>
      <c r="AH100" s="28">
        <f t="shared" si="47"/>
        <v>-55464.81</v>
      </c>
      <c r="AI100" s="28">
        <f t="shared" si="48"/>
        <v>14740.840000000004</v>
      </c>
      <c r="AK100" s="28">
        <f t="shared" si="49"/>
        <v>-11781.567999999999</v>
      </c>
      <c r="AL100" s="28">
        <f t="shared" si="50"/>
        <v>-43812</v>
      </c>
      <c r="AM100" s="28">
        <f t="shared" si="51"/>
        <v>26393.65</v>
      </c>
    </row>
    <row r="101" spans="1:39" s="1" customFormat="1" ht="11.25" customHeight="1" x14ac:dyDescent="0.2">
      <c r="A101" s="26"/>
      <c r="B101" s="26"/>
      <c r="C101" s="26"/>
      <c r="D101" s="26"/>
      <c r="E101" s="26"/>
      <c r="F101" s="26"/>
      <c r="G101" s="26" t="s">
        <v>114</v>
      </c>
      <c r="H101" s="28"/>
      <c r="I101" s="28">
        <v>135000</v>
      </c>
      <c r="J101" s="28"/>
      <c r="K101" s="28">
        <v>77794</v>
      </c>
      <c r="L101" s="28"/>
      <c r="M101" s="28">
        <v>32035</v>
      </c>
      <c r="N101" s="28"/>
      <c r="O101" s="28">
        <v>471851.13</v>
      </c>
      <c r="P101" s="28"/>
      <c r="Q101" s="28">
        <v>11983.9</v>
      </c>
      <c r="R101" s="28"/>
      <c r="S101" s="9">
        <v>236965.31</v>
      </c>
      <c r="T101" s="9"/>
      <c r="U101" s="9"/>
      <c r="V101" s="9"/>
      <c r="W101" s="9">
        <v>2373</v>
      </c>
      <c r="X101" s="9"/>
      <c r="Y101" s="9">
        <v>42000</v>
      </c>
      <c r="AA101" s="9">
        <v>20000</v>
      </c>
      <c r="AC101" s="28">
        <f t="shared" si="43"/>
        <v>166125.86800000002</v>
      </c>
      <c r="AD101" s="28">
        <f t="shared" si="44"/>
        <v>471851.13</v>
      </c>
      <c r="AE101" s="28">
        <f t="shared" si="45"/>
        <v>11983.9</v>
      </c>
      <c r="AG101" s="28">
        <f t="shared" si="46"/>
        <v>-163752.86800000002</v>
      </c>
      <c r="AH101" s="28">
        <f t="shared" si="47"/>
        <v>-469478.13</v>
      </c>
      <c r="AI101" s="28">
        <f t="shared" si="48"/>
        <v>-9610.9</v>
      </c>
      <c r="AK101" s="28">
        <f t="shared" si="49"/>
        <v>-124125.86800000002</v>
      </c>
      <c r="AL101" s="28">
        <f t="shared" si="50"/>
        <v>-429851.13</v>
      </c>
      <c r="AM101" s="28">
        <f t="shared" si="51"/>
        <v>30016.1</v>
      </c>
    </row>
    <row r="102" spans="1:39" s="1" customFormat="1" ht="11.25" customHeight="1" x14ac:dyDescent="0.2">
      <c r="A102" s="26"/>
      <c r="B102" s="26"/>
      <c r="C102" s="26"/>
      <c r="D102" s="26"/>
      <c r="E102" s="26"/>
      <c r="F102" s="26"/>
      <c r="G102" s="26" t="s">
        <v>115</v>
      </c>
      <c r="H102" s="28"/>
      <c r="I102" s="28">
        <v>15750</v>
      </c>
      <c r="J102" s="28"/>
      <c r="K102" s="28">
        <v>16550</v>
      </c>
      <c r="L102" s="28"/>
      <c r="M102" s="28">
        <v>17000</v>
      </c>
      <c r="N102" s="28"/>
      <c r="O102" s="28">
        <v>17750</v>
      </c>
      <c r="P102" s="28"/>
      <c r="Q102" s="28">
        <v>19762.5</v>
      </c>
      <c r="R102" s="28"/>
      <c r="S102" s="9">
        <v>20060</v>
      </c>
      <c r="T102" s="9"/>
      <c r="U102" s="9"/>
      <c r="V102" s="9"/>
      <c r="W102" s="9">
        <v>21000</v>
      </c>
      <c r="X102" s="9"/>
      <c r="Y102" s="9">
        <v>20750</v>
      </c>
      <c r="AA102" s="9">
        <v>22000</v>
      </c>
      <c r="AC102" s="28">
        <f t="shared" si="43"/>
        <v>18224.5</v>
      </c>
      <c r="AD102" s="28">
        <f t="shared" si="44"/>
        <v>20060</v>
      </c>
      <c r="AE102" s="28">
        <f t="shared" si="45"/>
        <v>16550</v>
      </c>
      <c r="AG102" s="28">
        <f t="shared" si="46"/>
        <v>2775.5</v>
      </c>
      <c r="AH102" s="28">
        <f t="shared" si="47"/>
        <v>940</v>
      </c>
      <c r="AI102" s="28">
        <f t="shared" si="48"/>
        <v>4450</v>
      </c>
      <c r="AK102" s="28">
        <f t="shared" si="49"/>
        <v>2525.5</v>
      </c>
      <c r="AL102" s="28">
        <f t="shared" si="50"/>
        <v>690</v>
      </c>
      <c r="AM102" s="28">
        <f t="shared" si="51"/>
        <v>4200</v>
      </c>
    </row>
    <row r="103" spans="1:39" s="1" customFormat="1" ht="11.25" customHeight="1" x14ac:dyDescent="0.2">
      <c r="A103" s="26"/>
      <c r="B103" s="26"/>
      <c r="C103" s="26"/>
      <c r="D103" s="26"/>
      <c r="E103" s="26"/>
      <c r="F103" s="26"/>
      <c r="G103" s="26" t="s">
        <v>116</v>
      </c>
      <c r="H103" s="28"/>
      <c r="I103" s="28"/>
      <c r="J103" s="28"/>
      <c r="K103" s="28">
        <v>1462</v>
      </c>
      <c r="L103" s="28"/>
      <c r="M103" s="28">
        <v>853</v>
      </c>
      <c r="N103" s="28"/>
      <c r="O103" s="28">
        <v>22.68</v>
      </c>
      <c r="P103" s="28"/>
      <c r="Q103" s="28">
        <v>2643</v>
      </c>
      <c r="R103" s="28"/>
      <c r="S103" s="9">
        <v>1600</v>
      </c>
      <c r="T103" s="9"/>
      <c r="U103" s="9"/>
      <c r="V103" s="9"/>
      <c r="W103" s="9">
        <v>0</v>
      </c>
      <c r="X103" s="9"/>
      <c r="Y103" s="9">
        <v>2000</v>
      </c>
      <c r="AA103" s="9">
        <v>2000</v>
      </c>
      <c r="AC103" s="28">
        <f t="shared" si="43"/>
        <v>1316.136</v>
      </c>
      <c r="AD103" s="28">
        <f t="shared" si="44"/>
        <v>2643</v>
      </c>
      <c r="AE103" s="28">
        <f t="shared" si="45"/>
        <v>22.68</v>
      </c>
      <c r="AG103" s="28">
        <f t="shared" si="46"/>
        <v>-1316.136</v>
      </c>
      <c r="AH103" s="28">
        <f t="shared" si="47"/>
        <v>-2643</v>
      </c>
      <c r="AI103" s="28">
        <f t="shared" si="48"/>
        <v>-22.68</v>
      </c>
      <c r="AK103" s="28">
        <f t="shared" si="49"/>
        <v>683.86400000000003</v>
      </c>
      <c r="AL103" s="28">
        <f t="shared" si="50"/>
        <v>-643</v>
      </c>
      <c r="AM103" s="28">
        <f t="shared" si="51"/>
        <v>1977.32</v>
      </c>
    </row>
    <row r="104" spans="1:39" s="1" customFormat="1" ht="11.25" customHeight="1" x14ac:dyDescent="0.2">
      <c r="A104" s="26"/>
      <c r="B104" s="26"/>
      <c r="C104" s="26"/>
      <c r="D104" s="26"/>
      <c r="E104" s="26"/>
      <c r="F104" s="26"/>
      <c r="G104" s="30" t="s">
        <v>117</v>
      </c>
      <c r="H104" s="28"/>
      <c r="I104" s="28">
        <v>8367</v>
      </c>
      <c r="J104" s="28"/>
      <c r="K104" s="28">
        <v>21875</v>
      </c>
      <c r="L104" s="28"/>
      <c r="M104" s="28">
        <v>8361</v>
      </c>
      <c r="N104" s="28"/>
      <c r="O104" s="28">
        <v>934.71</v>
      </c>
      <c r="P104" s="28"/>
      <c r="Q104" s="28">
        <v>3155.88</v>
      </c>
      <c r="R104" s="28"/>
      <c r="S104" s="9">
        <v>3125.2</v>
      </c>
      <c r="T104" s="9"/>
      <c r="U104" s="9"/>
      <c r="V104" s="9"/>
      <c r="W104" s="9">
        <v>969.53</v>
      </c>
      <c r="X104" s="9"/>
      <c r="Y104" s="9">
        <v>3000</v>
      </c>
      <c r="AA104" s="9">
        <v>2000</v>
      </c>
      <c r="AC104" s="28">
        <f t="shared" si="43"/>
        <v>7490.3579999999984</v>
      </c>
      <c r="AD104" s="28">
        <f t="shared" si="44"/>
        <v>21875</v>
      </c>
      <c r="AE104" s="28">
        <f t="shared" si="45"/>
        <v>934.71</v>
      </c>
      <c r="AG104" s="28">
        <f t="shared" si="46"/>
        <v>-6520.8279999999986</v>
      </c>
      <c r="AH104" s="28">
        <f t="shared" si="47"/>
        <v>-20905.47</v>
      </c>
      <c r="AI104" s="28">
        <f t="shared" si="48"/>
        <v>34.819999999999936</v>
      </c>
      <c r="AK104" s="28">
        <f t="shared" si="49"/>
        <v>-4490.3579999999984</v>
      </c>
      <c r="AL104" s="28">
        <f t="shared" si="50"/>
        <v>-18875</v>
      </c>
      <c r="AM104" s="28">
        <f t="shared" si="51"/>
        <v>2065.29</v>
      </c>
    </row>
    <row r="105" spans="1:39" s="1" customFormat="1" ht="11.25" customHeight="1" x14ac:dyDescent="0.2">
      <c r="A105" s="26"/>
      <c r="B105" s="26"/>
      <c r="C105" s="26"/>
      <c r="D105" s="26"/>
      <c r="E105" s="26"/>
      <c r="F105" s="26"/>
      <c r="G105" s="26" t="s">
        <v>118</v>
      </c>
      <c r="H105" s="28"/>
      <c r="I105" s="28">
        <v>2047</v>
      </c>
      <c r="J105" s="28"/>
      <c r="K105" s="28">
        <v>2616</v>
      </c>
      <c r="L105" s="28"/>
      <c r="M105" s="28">
        <v>4557</v>
      </c>
      <c r="N105" s="28"/>
      <c r="O105" s="28">
        <v>11738.48</v>
      </c>
      <c r="P105" s="28"/>
      <c r="Q105" s="28">
        <v>43850.73</v>
      </c>
      <c r="R105" s="28"/>
      <c r="S105" s="9">
        <v>42407.91</v>
      </c>
      <c r="T105" s="9"/>
      <c r="U105" s="9"/>
      <c r="V105" s="9"/>
      <c r="W105" s="9">
        <v>71953.960000000006</v>
      </c>
      <c r="X105" s="9"/>
      <c r="Y105" s="9">
        <v>60000</v>
      </c>
      <c r="AA105" s="9">
        <v>70000</v>
      </c>
      <c r="AC105" s="28">
        <f t="shared" si="43"/>
        <v>21034.024000000001</v>
      </c>
      <c r="AD105" s="28">
        <f t="shared" si="44"/>
        <v>43850.73</v>
      </c>
      <c r="AE105" s="28">
        <f t="shared" si="45"/>
        <v>2616</v>
      </c>
      <c r="AG105" s="28">
        <f t="shared" si="46"/>
        <v>50919.936000000002</v>
      </c>
      <c r="AH105" s="28">
        <f t="shared" si="47"/>
        <v>28103.230000000003</v>
      </c>
      <c r="AI105" s="28">
        <f t="shared" si="48"/>
        <v>69337.960000000006</v>
      </c>
      <c r="AK105" s="28">
        <f t="shared" si="49"/>
        <v>38965.975999999995</v>
      </c>
      <c r="AL105" s="28">
        <f t="shared" si="50"/>
        <v>16149.269999999997</v>
      </c>
      <c r="AM105" s="28">
        <f t="shared" si="51"/>
        <v>57384</v>
      </c>
    </row>
    <row r="106" spans="1:39" s="1" customFormat="1" ht="11.25" customHeight="1" x14ac:dyDescent="0.2">
      <c r="A106" s="26"/>
      <c r="B106" s="26"/>
      <c r="C106" s="26"/>
      <c r="D106" s="26"/>
      <c r="E106" s="26"/>
      <c r="F106" s="26"/>
      <c r="G106" s="26" t="s">
        <v>119</v>
      </c>
      <c r="H106" s="28"/>
      <c r="I106" s="28">
        <v>5359</v>
      </c>
      <c r="J106" s="28"/>
      <c r="K106" s="28">
        <v>1631</v>
      </c>
      <c r="L106" s="28"/>
      <c r="M106" s="28">
        <v>3681</v>
      </c>
      <c r="N106" s="28"/>
      <c r="O106" s="28">
        <v>0</v>
      </c>
      <c r="P106" s="28"/>
      <c r="Q106" s="28">
        <v>0</v>
      </c>
      <c r="R106" s="28"/>
      <c r="S106" s="9">
        <v>57693.03</v>
      </c>
      <c r="T106" s="9"/>
      <c r="U106" s="9"/>
      <c r="V106" s="9"/>
      <c r="W106" s="9">
        <v>49156.05</v>
      </c>
      <c r="X106" s="9"/>
      <c r="Y106" s="9">
        <v>0</v>
      </c>
      <c r="AA106" s="9">
        <v>0</v>
      </c>
      <c r="AC106" s="28">
        <f t="shared" si="43"/>
        <v>12601.005999999999</v>
      </c>
      <c r="AD106" s="28">
        <f t="shared" si="44"/>
        <v>57693.03</v>
      </c>
      <c r="AE106" s="28">
        <f t="shared" si="45"/>
        <v>0</v>
      </c>
      <c r="AG106" s="28">
        <f t="shared" si="46"/>
        <v>36555.044000000002</v>
      </c>
      <c r="AH106" s="28">
        <f t="shared" si="47"/>
        <v>-8536.9799999999959</v>
      </c>
      <c r="AI106" s="28">
        <f t="shared" si="48"/>
        <v>49156.05</v>
      </c>
      <c r="AK106" s="28">
        <f t="shared" si="49"/>
        <v>-12601.005999999999</v>
      </c>
      <c r="AL106" s="28">
        <f t="shared" si="50"/>
        <v>-57693.03</v>
      </c>
      <c r="AM106" s="28">
        <f t="shared" si="51"/>
        <v>0</v>
      </c>
    </row>
    <row r="107" spans="1:39" s="1" customFormat="1" ht="11.25" customHeight="1" x14ac:dyDescent="0.2">
      <c r="A107" s="26"/>
      <c r="B107" s="26"/>
      <c r="C107" s="26"/>
      <c r="D107" s="26"/>
      <c r="E107" s="26"/>
      <c r="F107" s="26"/>
      <c r="G107" s="26" t="s">
        <v>120</v>
      </c>
      <c r="H107" s="28"/>
      <c r="I107" s="28">
        <v>17000</v>
      </c>
      <c r="J107" s="28"/>
      <c r="K107" s="28">
        <v>19852</v>
      </c>
      <c r="L107" s="28"/>
      <c r="M107" s="28">
        <v>23213</v>
      </c>
      <c r="N107" s="28"/>
      <c r="O107" s="28">
        <v>0</v>
      </c>
      <c r="P107" s="28"/>
      <c r="Q107" s="28">
        <v>10450</v>
      </c>
      <c r="R107" s="28"/>
      <c r="S107" s="9">
        <v>10350</v>
      </c>
      <c r="T107" s="9"/>
      <c r="U107" s="9"/>
      <c r="V107" s="9"/>
      <c r="W107" s="9">
        <v>8750</v>
      </c>
      <c r="X107" s="9"/>
      <c r="Y107" s="9">
        <v>12000</v>
      </c>
      <c r="AA107" s="9">
        <v>12000</v>
      </c>
      <c r="AC107" s="28">
        <f t="shared" si="43"/>
        <v>12773</v>
      </c>
      <c r="AD107" s="28">
        <f t="shared" si="44"/>
        <v>23213</v>
      </c>
      <c r="AE107" s="28">
        <f t="shared" si="45"/>
        <v>0</v>
      </c>
      <c r="AG107" s="28">
        <f t="shared" si="46"/>
        <v>-4023</v>
      </c>
      <c r="AH107" s="28">
        <f t="shared" si="47"/>
        <v>-14463</v>
      </c>
      <c r="AI107" s="28">
        <f t="shared" si="48"/>
        <v>8750</v>
      </c>
      <c r="AK107" s="28">
        <f t="shared" si="49"/>
        <v>-773</v>
      </c>
      <c r="AL107" s="28">
        <f t="shared" si="50"/>
        <v>-11213</v>
      </c>
      <c r="AM107" s="28">
        <f t="shared" si="51"/>
        <v>12000</v>
      </c>
    </row>
    <row r="108" spans="1:39" s="1" customFormat="1" ht="11.25" customHeight="1" x14ac:dyDescent="0.2">
      <c r="A108" s="26"/>
      <c r="B108" s="26"/>
      <c r="C108" s="26"/>
      <c r="D108" s="26"/>
      <c r="E108" s="26"/>
      <c r="F108" s="26"/>
      <c r="G108" s="26" t="s">
        <v>121</v>
      </c>
      <c r="H108" s="28"/>
      <c r="I108" s="28"/>
      <c r="J108" s="28"/>
      <c r="K108" s="28"/>
      <c r="L108" s="28"/>
      <c r="M108" s="28"/>
      <c r="N108" s="28"/>
      <c r="O108" s="28"/>
      <c r="P108" s="28"/>
      <c r="Q108" s="28">
        <v>4985</v>
      </c>
      <c r="R108" s="28"/>
      <c r="S108" s="9">
        <v>5285</v>
      </c>
      <c r="T108" s="9"/>
      <c r="U108" s="9"/>
      <c r="V108" s="9"/>
      <c r="W108" s="9">
        <v>5787.94</v>
      </c>
      <c r="X108" s="9"/>
      <c r="Y108" s="9">
        <v>6285</v>
      </c>
      <c r="AA108" s="9">
        <v>6300</v>
      </c>
      <c r="AC108" s="28">
        <f t="shared" si="43"/>
        <v>5135</v>
      </c>
      <c r="AD108" s="28">
        <f t="shared" si="44"/>
        <v>5285</v>
      </c>
      <c r="AE108" s="28">
        <f t="shared" si="45"/>
        <v>4985</v>
      </c>
      <c r="AG108" s="28">
        <f t="shared" si="46"/>
        <v>652.9399999999996</v>
      </c>
      <c r="AH108" s="28">
        <f t="shared" si="47"/>
        <v>502.9399999999996</v>
      </c>
      <c r="AI108" s="28">
        <f t="shared" si="48"/>
        <v>802.9399999999996</v>
      </c>
      <c r="AK108" s="28">
        <f t="shared" si="49"/>
        <v>1150</v>
      </c>
      <c r="AL108" s="28">
        <f t="shared" si="50"/>
        <v>1000</v>
      </c>
      <c r="AM108" s="28">
        <f t="shared" si="51"/>
        <v>1300</v>
      </c>
    </row>
    <row r="109" spans="1:39" s="1" customFormat="1" ht="11.25" customHeight="1" x14ac:dyDescent="0.2">
      <c r="A109" s="26"/>
      <c r="B109" s="26"/>
      <c r="C109" s="26"/>
      <c r="D109" s="26"/>
      <c r="E109" s="26"/>
      <c r="F109" s="26"/>
      <c r="G109" s="26" t="s">
        <v>122</v>
      </c>
      <c r="H109" s="28"/>
      <c r="I109" s="28">
        <f>2943+697</f>
        <v>3640</v>
      </c>
      <c r="J109" s="28"/>
      <c r="K109" s="28">
        <v>3829</v>
      </c>
      <c r="L109" s="28"/>
      <c r="M109" s="28">
        <v>4998</v>
      </c>
      <c r="N109" s="28"/>
      <c r="O109" s="28">
        <v>8560.18</v>
      </c>
      <c r="P109" s="28"/>
      <c r="Q109" s="28">
        <v>4579.5</v>
      </c>
      <c r="R109" s="28"/>
      <c r="S109" s="9">
        <v>10542.4</v>
      </c>
      <c r="T109" s="9"/>
      <c r="U109" s="9"/>
      <c r="V109" s="9"/>
      <c r="W109" s="9">
        <v>13389.06</v>
      </c>
      <c r="X109" s="9"/>
      <c r="Y109" s="9">
        <v>6000</v>
      </c>
      <c r="AA109" s="9">
        <v>6000</v>
      </c>
      <c r="AC109" s="28">
        <f t="shared" si="43"/>
        <v>6501.8160000000007</v>
      </c>
      <c r="AD109" s="28">
        <f t="shared" si="44"/>
        <v>10542.4</v>
      </c>
      <c r="AE109" s="28">
        <f t="shared" si="45"/>
        <v>3829</v>
      </c>
      <c r="AG109" s="28">
        <f t="shared" si="46"/>
        <v>6887.2439999999988</v>
      </c>
      <c r="AH109" s="28">
        <f t="shared" si="47"/>
        <v>2846.66</v>
      </c>
      <c r="AI109" s="28">
        <f t="shared" si="48"/>
        <v>9560.06</v>
      </c>
      <c r="AK109" s="28">
        <f t="shared" si="49"/>
        <v>-501.81600000000071</v>
      </c>
      <c r="AL109" s="28">
        <f t="shared" si="50"/>
        <v>-4542.3999999999996</v>
      </c>
      <c r="AM109" s="28">
        <f t="shared" si="51"/>
        <v>2171</v>
      </c>
    </row>
    <row r="110" spans="1:39" s="1" customFormat="1" ht="11.25" customHeight="1" x14ac:dyDescent="0.2">
      <c r="A110" s="26"/>
      <c r="B110" s="26"/>
      <c r="C110" s="26"/>
      <c r="D110" s="26"/>
      <c r="E110" s="26"/>
      <c r="F110" s="26"/>
      <c r="G110" s="26" t="s">
        <v>123</v>
      </c>
      <c r="H110" s="28"/>
      <c r="I110" s="28">
        <v>31888</v>
      </c>
      <c r="J110" s="28"/>
      <c r="K110" s="28">
        <v>9990</v>
      </c>
      <c r="L110" s="28"/>
      <c r="M110" s="28">
        <v>45969</v>
      </c>
      <c r="N110" s="28"/>
      <c r="O110" s="28">
        <v>0</v>
      </c>
      <c r="P110" s="28"/>
      <c r="Q110" s="28">
        <v>32123.93</v>
      </c>
      <c r="R110" s="28"/>
      <c r="S110" s="11">
        <v>1675</v>
      </c>
      <c r="T110" s="9"/>
      <c r="U110" s="9"/>
      <c r="V110" s="9"/>
      <c r="W110" s="11">
        <v>0</v>
      </c>
      <c r="X110" s="9"/>
      <c r="Y110" s="9">
        <v>0</v>
      </c>
      <c r="AA110" s="9">
        <v>0</v>
      </c>
      <c r="AC110" s="28">
        <f t="shared" si="43"/>
        <v>17951.585999999999</v>
      </c>
      <c r="AD110" s="28">
        <f t="shared" si="44"/>
        <v>45969</v>
      </c>
      <c r="AE110" s="28">
        <f t="shared" si="45"/>
        <v>0</v>
      </c>
      <c r="AG110" s="28">
        <f t="shared" si="46"/>
        <v>-17951.585999999999</v>
      </c>
      <c r="AH110" s="28">
        <f t="shared" si="47"/>
        <v>-45969</v>
      </c>
      <c r="AI110" s="28">
        <f t="shared" si="48"/>
        <v>0</v>
      </c>
      <c r="AK110" s="28">
        <f t="shared" si="49"/>
        <v>-17951.585999999999</v>
      </c>
      <c r="AL110" s="28">
        <f t="shared" si="50"/>
        <v>-45969</v>
      </c>
      <c r="AM110" s="28">
        <f t="shared" si="51"/>
        <v>0</v>
      </c>
    </row>
    <row r="111" spans="1:39" s="1" customFormat="1" ht="11.25" customHeight="1" x14ac:dyDescent="0.2">
      <c r="A111" s="26"/>
      <c r="B111" s="26"/>
      <c r="C111" s="26"/>
      <c r="D111" s="26"/>
      <c r="E111" s="26"/>
      <c r="F111" s="26"/>
      <c r="G111" s="36" t="s">
        <v>124</v>
      </c>
      <c r="H111" s="28"/>
      <c r="I111" s="28"/>
      <c r="J111" s="28"/>
      <c r="K111" s="28"/>
      <c r="L111" s="28"/>
      <c r="M111" s="28"/>
      <c r="N111" s="28"/>
      <c r="O111" s="28"/>
      <c r="P111" s="28"/>
      <c r="Q111" s="28"/>
      <c r="R111" s="28"/>
      <c r="S111" s="9">
        <v>44205</v>
      </c>
      <c r="T111" s="9"/>
      <c r="U111" s="9"/>
      <c r="V111" s="9"/>
      <c r="W111" s="9">
        <f>0.2*W29</f>
        <v>41526.768000000004</v>
      </c>
      <c r="X111" s="9"/>
      <c r="Y111" s="9">
        <f>Y29*0.2</f>
        <v>66000</v>
      </c>
      <c r="AA111" s="9">
        <f>+AA29*0.2</f>
        <v>60000</v>
      </c>
      <c r="AC111" s="28"/>
      <c r="AD111" s="28">
        <f t="shared" si="44"/>
        <v>44205</v>
      </c>
      <c r="AE111" s="28">
        <f t="shared" si="45"/>
        <v>44205</v>
      </c>
      <c r="AG111" s="28">
        <f t="shared" si="46"/>
        <v>41526.768000000004</v>
      </c>
      <c r="AH111" s="28">
        <f t="shared" si="47"/>
        <v>-2678.2319999999963</v>
      </c>
      <c r="AI111" s="28">
        <f t="shared" si="48"/>
        <v>-2678.2319999999963</v>
      </c>
      <c r="AK111" s="28"/>
      <c r="AL111" s="28">
        <f t="shared" si="50"/>
        <v>21795</v>
      </c>
      <c r="AM111" s="28">
        <f t="shared" si="51"/>
        <v>21795</v>
      </c>
    </row>
    <row r="112" spans="1:39" s="1" customFormat="1" ht="11.25" customHeight="1" x14ac:dyDescent="0.2">
      <c r="A112" s="26"/>
      <c r="B112" s="26"/>
      <c r="C112" s="26"/>
      <c r="D112" s="26"/>
      <c r="E112" s="26"/>
      <c r="F112" s="26"/>
      <c r="G112" s="36" t="s">
        <v>125</v>
      </c>
      <c r="H112" s="28"/>
      <c r="I112" s="28"/>
      <c r="J112" s="28"/>
      <c r="K112" s="28"/>
      <c r="L112" s="28"/>
      <c r="M112" s="28"/>
      <c r="N112" s="28"/>
      <c r="O112" s="28"/>
      <c r="P112" s="28"/>
      <c r="Q112" s="28"/>
      <c r="R112" s="28"/>
      <c r="S112" s="9">
        <v>16097</v>
      </c>
      <c r="T112" s="9"/>
      <c r="U112" s="9"/>
      <c r="V112" s="9"/>
      <c r="W112" s="9">
        <f>0.03*(W7+W8)</f>
        <v>41117.411999999997</v>
      </c>
      <c r="X112" s="9"/>
      <c r="Y112" s="9">
        <v>18900</v>
      </c>
      <c r="AA112" s="9">
        <f>+AA7*0.03</f>
        <v>22500</v>
      </c>
      <c r="AC112" s="28"/>
      <c r="AD112" s="28">
        <f t="shared" si="44"/>
        <v>16097</v>
      </c>
      <c r="AE112" s="28">
        <f t="shared" si="45"/>
        <v>16097</v>
      </c>
      <c r="AG112" s="28">
        <f t="shared" si="46"/>
        <v>41117.411999999997</v>
      </c>
      <c r="AH112" s="28">
        <f t="shared" si="47"/>
        <v>25020.411999999997</v>
      </c>
      <c r="AI112" s="28">
        <f t="shared" si="48"/>
        <v>25020.411999999997</v>
      </c>
      <c r="AK112" s="28"/>
      <c r="AL112" s="28">
        <f t="shared" si="50"/>
        <v>2803</v>
      </c>
      <c r="AM112" s="28">
        <f t="shared" si="51"/>
        <v>2803</v>
      </c>
    </row>
    <row r="113" spans="1:39" s="1" customFormat="1" ht="11.25" customHeight="1" x14ac:dyDescent="0.2">
      <c r="A113" s="26"/>
      <c r="B113" s="26"/>
      <c r="C113" s="26"/>
      <c r="D113" s="26"/>
      <c r="E113" s="26"/>
      <c r="F113" s="26"/>
      <c r="G113" s="36" t="s">
        <v>126</v>
      </c>
      <c r="H113" s="28"/>
      <c r="I113" s="28"/>
      <c r="J113" s="28"/>
      <c r="K113" s="28"/>
      <c r="L113" s="28"/>
      <c r="M113" s="28"/>
      <c r="N113" s="28"/>
      <c r="O113" s="28"/>
      <c r="P113" s="28"/>
      <c r="Q113" s="28"/>
      <c r="R113" s="28"/>
      <c r="S113" s="9">
        <v>26828</v>
      </c>
      <c r="T113" s="9"/>
      <c r="U113" s="9"/>
      <c r="V113" s="9"/>
      <c r="W113" s="9">
        <v>61402.59</v>
      </c>
      <c r="X113" s="9"/>
      <c r="Y113" s="9">
        <f>Y7*0.05</f>
        <v>30250</v>
      </c>
      <c r="AA113" s="9">
        <f>+AA7*0.05</f>
        <v>37500</v>
      </c>
      <c r="AC113" s="28"/>
      <c r="AD113" s="28">
        <f t="shared" si="44"/>
        <v>26828</v>
      </c>
      <c r="AE113" s="28">
        <f t="shared" si="45"/>
        <v>26828</v>
      </c>
      <c r="AG113" s="28">
        <f t="shared" si="46"/>
        <v>61402.59</v>
      </c>
      <c r="AH113" s="28">
        <f t="shared" si="47"/>
        <v>34574.589999999997</v>
      </c>
      <c r="AI113" s="28">
        <f t="shared" si="48"/>
        <v>34574.589999999997</v>
      </c>
      <c r="AK113" s="28"/>
      <c r="AL113" s="28">
        <f t="shared" si="50"/>
        <v>3422</v>
      </c>
      <c r="AM113" s="28">
        <f t="shared" si="51"/>
        <v>3422</v>
      </c>
    </row>
    <row r="114" spans="1:39" s="1" customFormat="1" ht="11.25" customHeight="1" x14ac:dyDescent="0.2">
      <c r="A114" s="26"/>
      <c r="B114" s="26"/>
      <c r="C114" s="26"/>
      <c r="D114" s="26"/>
      <c r="E114" s="26"/>
      <c r="F114" s="26"/>
      <c r="G114" s="36" t="s">
        <v>127</v>
      </c>
      <c r="H114" s="28"/>
      <c r="I114" s="28"/>
      <c r="J114" s="28"/>
      <c r="K114" s="28"/>
      <c r="L114" s="28"/>
      <c r="M114" s="28"/>
      <c r="N114" s="28"/>
      <c r="O114" s="28"/>
      <c r="P114" s="28"/>
      <c r="Q114" s="28"/>
      <c r="R114" s="28"/>
      <c r="S114" s="9">
        <v>32920</v>
      </c>
      <c r="T114" s="9"/>
      <c r="U114" s="9"/>
      <c r="V114" s="9"/>
      <c r="W114" s="9">
        <f>0.05*(W25+W24)</f>
        <v>35291.340000000004</v>
      </c>
      <c r="X114" s="9"/>
      <c r="Y114" s="9">
        <f>(Y24+Y25)*0.05</f>
        <v>37750</v>
      </c>
      <c r="AA114" s="9">
        <f>+(AA24+AA25)*0.05</f>
        <v>37750</v>
      </c>
      <c r="AC114" s="28"/>
      <c r="AD114" s="28">
        <f t="shared" si="44"/>
        <v>32920</v>
      </c>
      <c r="AE114" s="28">
        <f t="shared" si="45"/>
        <v>32920</v>
      </c>
      <c r="AG114" s="28"/>
      <c r="AH114" s="28"/>
      <c r="AI114" s="28"/>
      <c r="AK114" s="28"/>
      <c r="AL114" s="28">
        <f t="shared" si="50"/>
        <v>4830</v>
      </c>
      <c r="AM114" s="28">
        <f t="shared" si="51"/>
        <v>4830</v>
      </c>
    </row>
    <row r="115" spans="1:39" s="1" customFormat="1" ht="12" customHeight="1" thickBot="1" x14ac:dyDescent="0.25">
      <c r="A115" s="26"/>
      <c r="B115" s="26"/>
      <c r="C115" s="26"/>
      <c r="D115" s="26"/>
      <c r="E115" s="26"/>
      <c r="F115" s="26"/>
      <c r="G115" s="26" t="s">
        <v>128</v>
      </c>
      <c r="H115" s="28"/>
      <c r="I115" s="33"/>
      <c r="J115" s="28"/>
      <c r="K115" s="33"/>
      <c r="L115" s="28"/>
      <c r="M115" s="33"/>
      <c r="N115" s="28"/>
      <c r="O115" s="33"/>
      <c r="P115" s="33"/>
      <c r="Q115" s="33"/>
      <c r="R115" s="33"/>
      <c r="S115" s="14"/>
      <c r="T115" s="11"/>
      <c r="U115" s="11"/>
      <c r="V115" s="9"/>
      <c r="W115" s="14"/>
      <c r="X115" s="9"/>
      <c r="Y115" s="14"/>
      <c r="AA115" s="14"/>
      <c r="AC115" s="33"/>
      <c r="AD115" s="33">
        <f t="shared" si="44"/>
        <v>0</v>
      </c>
      <c r="AE115" s="33">
        <f t="shared" si="45"/>
        <v>0</v>
      </c>
      <c r="AG115" s="33">
        <f>+W115-AC115</f>
        <v>0</v>
      </c>
      <c r="AH115" s="33">
        <f>+W115-AD115</f>
        <v>0</v>
      </c>
      <c r="AI115" s="33">
        <f>+W115-AE115</f>
        <v>0</v>
      </c>
      <c r="AK115" s="33">
        <f>+Y115-AC115</f>
        <v>0</v>
      </c>
      <c r="AL115" s="33">
        <f t="shared" si="50"/>
        <v>0</v>
      </c>
      <c r="AM115" s="33">
        <f t="shared" si="51"/>
        <v>0</v>
      </c>
    </row>
    <row r="116" spans="1:39" s="1" customFormat="1" ht="11.25" customHeight="1" x14ac:dyDescent="0.2">
      <c r="A116" s="26"/>
      <c r="B116" s="26"/>
      <c r="C116" s="26"/>
      <c r="D116" s="26"/>
      <c r="E116" s="26"/>
      <c r="F116" s="26" t="s">
        <v>129</v>
      </c>
      <c r="G116" s="26"/>
      <c r="H116" s="28"/>
      <c r="I116" s="28">
        <f>ROUND(SUM(I91:I115),5)</f>
        <v>359971</v>
      </c>
      <c r="J116" s="28"/>
      <c r="K116" s="28">
        <f>ROUND(SUM(K91:K115),5)</f>
        <v>333725</v>
      </c>
      <c r="L116" s="28"/>
      <c r="M116" s="28">
        <f>ROUND(SUM(M91:M115),5)</f>
        <v>277260</v>
      </c>
      <c r="N116" s="28"/>
      <c r="O116" s="28">
        <f>ROUND(SUM(O91:O115),5)</f>
        <v>628127.16</v>
      </c>
      <c r="P116" s="28"/>
      <c r="Q116" s="28">
        <f>ROUND(SUM(Q91:Q115),5)</f>
        <v>284637.23</v>
      </c>
      <c r="R116" s="28"/>
      <c r="S116" s="9">
        <f>ROUND(SUM(S91:S115),5)</f>
        <v>637231.24</v>
      </c>
      <c r="T116" s="9"/>
      <c r="U116" s="9"/>
      <c r="V116" s="9"/>
      <c r="W116" s="9">
        <f>ROUND(SUM(W91:W115),5)</f>
        <v>455454.58</v>
      </c>
      <c r="X116" s="9"/>
      <c r="Y116" s="9">
        <f>ROUND(SUM(Y91:Y115),5)</f>
        <v>434435</v>
      </c>
      <c r="AA116" s="9">
        <f>ROUND(SUM(AA91:AA115),5)</f>
        <v>418550</v>
      </c>
      <c r="AC116" s="28">
        <f t="shared" ref="AC116:AE116" si="52">ROUND(SUM(AC91:AC115),5)</f>
        <v>411267.12599999999</v>
      </c>
      <c r="AD116" s="28">
        <f t="shared" si="52"/>
        <v>1027500.01</v>
      </c>
      <c r="AE116" s="28">
        <f t="shared" si="52"/>
        <v>245354.87</v>
      </c>
      <c r="AG116" s="28">
        <f t="shared" ref="AG116:AI116" si="53">ROUND(SUM(AG91:AG115),5)</f>
        <v>8896.1139999999996</v>
      </c>
      <c r="AH116" s="28">
        <f t="shared" si="53"/>
        <v>-574416.77</v>
      </c>
      <c r="AI116" s="28">
        <f t="shared" si="53"/>
        <v>207728.37</v>
      </c>
      <c r="AK116" s="28">
        <f t="shared" ref="AK116:AM116" si="54">ROUND(SUM(AK91:AK115),5)</f>
        <v>-129732.126</v>
      </c>
      <c r="AL116" s="28">
        <f t="shared" si="54"/>
        <v>-593065.01</v>
      </c>
      <c r="AM116" s="28">
        <f t="shared" si="54"/>
        <v>189080.13</v>
      </c>
    </row>
    <row r="117" spans="1:39" s="1" customFormat="1" ht="11.25" customHeight="1" x14ac:dyDescent="0.2">
      <c r="A117" s="26"/>
      <c r="B117" s="26"/>
      <c r="C117" s="26"/>
      <c r="D117" s="26"/>
      <c r="E117" s="26"/>
      <c r="F117" s="26" t="s">
        <v>130</v>
      </c>
      <c r="G117" s="26"/>
      <c r="H117" s="28"/>
      <c r="I117" s="28"/>
      <c r="J117" s="28"/>
      <c r="K117" s="28"/>
      <c r="L117" s="28"/>
      <c r="M117" s="28"/>
      <c r="N117" s="28"/>
      <c r="O117" s="28"/>
      <c r="P117" s="28"/>
      <c r="Q117" s="28"/>
      <c r="R117" s="28"/>
      <c r="S117" s="9"/>
      <c r="T117" s="9"/>
      <c r="U117" s="9"/>
      <c r="V117" s="9"/>
      <c r="W117" s="9"/>
      <c r="X117" s="9"/>
      <c r="Y117" s="9"/>
      <c r="AA117" s="9"/>
      <c r="AC117" s="28"/>
      <c r="AD117" s="28"/>
      <c r="AE117" s="28"/>
      <c r="AG117" s="28"/>
      <c r="AH117" s="28"/>
      <c r="AI117" s="28"/>
      <c r="AK117" s="28"/>
      <c r="AL117" s="28"/>
      <c r="AM117" s="28"/>
    </row>
    <row r="118" spans="1:39" s="1" customFormat="1" ht="11.25" customHeight="1" x14ac:dyDescent="0.2">
      <c r="A118" s="26"/>
      <c r="B118" s="26"/>
      <c r="C118" s="26"/>
      <c r="D118" s="26"/>
      <c r="E118" s="26"/>
      <c r="F118" s="26"/>
      <c r="G118" s="26" t="s">
        <v>131</v>
      </c>
      <c r="H118" s="28"/>
      <c r="I118" s="28"/>
      <c r="J118" s="28"/>
      <c r="K118" s="28">
        <v>21187</v>
      </c>
      <c r="L118" s="28"/>
      <c r="M118" s="28">
        <v>6228</v>
      </c>
      <c r="N118" s="28"/>
      <c r="O118" s="28">
        <v>6689.77</v>
      </c>
      <c r="P118" s="28"/>
      <c r="Q118" s="28">
        <v>11080.74</v>
      </c>
      <c r="R118" s="28"/>
      <c r="S118" s="9">
        <v>10168.09</v>
      </c>
      <c r="T118" s="9"/>
      <c r="U118" s="9"/>
      <c r="V118" s="9"/>
      <c r="W118" s="9">
        <v>8031.64</v>
      </c>
      <c r="X118" s="9"/>
      <c r="Y118" s="9">
        <v>9500</v>
      </c>
      <c r="AA118" s="9">
        <v>9500</v>
      </c>
      <c r="AC118" s="28">
        <f>AVERAGE(K118:S118)</f>
        <v>11070.720000000001</v>
      </c>
      <c r="AD118" s="28">
        <f>MAX(K118:S118)</f>
        <v>21187</v>
      </c>
      <c r="AE118" s="28">
        <f>MIN(K118:S118)</f>
        <v>6228</v>
      </c>
      <c r="AG118" s="28">
        <f>+W118-AC118</f>
        <v>-3039.0800000000008</v>
      </c>
      <c r="AH118" s="28">
        <f>+W118-AD118</f>
        <v>-13155.36</v>
      </c>
      <c r="AI118" s="28">
        <f>+W118-AE118</f>
        <v>1803.6400000000003</v>
      </c>
      <c r="AK118" s="28">
        <f>+Y118-AC118</f>
        <v>-1570.7200000000012</v>
      </c>
      <c r="AL118" s="28">
        <f>+Y118-AD118</f>
        <v>-11687</v>
      </c>
      <c r="AM118" s="28">
        <f>+Y118-AE118</f>
        <v>3272</v>
      </c>
    </row>
    <row r="119" spans="1:39" s="1" customFormat="1" ht="11.25" customHeight="1" x14ac:dyDescent="0.2">
      <c r="A119" s="26"/>
      <c r="B119" s="26"/>
      <c r="C119" s="26"/>
      <c r="D119" s="26"/>
      <c r="E119" s="26"/>
      <c r="F119" s="26"/>
      <c r="G119" s="26" t="s">
        <v>132</v>
      </c>
      <c r="H119" s="28"/>
      <c r="I119" s="28">
        <v>52247</v>
      </c>
      <c r="J119" s="28"/>
      <c r="K119" s="28">
        <v>52247</v>
      </c>
      <c r="L119" s="28"/>
      <c r="M119" s="28">
        <v>52300</v>
      </c>
      <c r="N119" s="28"/>
      <c r="O119" s="28">
        <v>52246.57</v>
      </c>
      <c r="P119" s="28"/>
      <c r="Q119" s="28">
        <v>52246.559999999998</v>
      </c>
      <c r="R119" s="28"/>
      <c r="S119" s="9">
        <v>49985</v>
      </c>
      <c r="T119" s="9"/>
      <c r="U119" s="9"/>
      <c r="V119" s="9"/>
      <c r="W119" s="9">
        <v>0</v>
      </c>
      <c r="X119" s="9"/>
      <c r="Y119" s="9">
        <v>0</v>
      </c>
      <c r="AA119" s="9">
        <v>0</v>
      </c>
      <c r="AC119" s="28">
        <f>AVERAGE(K119:S119)</f>
        <v>51805.025999999998</v>
      </c>
      <c r="AD119" s="28">
        <f>MAX(K119:S119)</f>
        <v>52300</v>
      </c>
      <c r="AE119" s="28">
        <f>MIN(K119:S119)</f>
        <v>49985</v>
      </c>
      <c r="AG119" s="28">
        <f>+W119-AC119</f>
        <v>-51805.025999999998</v>
      </c>
      <c r="AH119" s="28">
        <f>+W119-AD119</f>
        <v>-52300</v>
      </c>
      <c r="AI119" s="28">
        <f>+W119-AE119</f>
        <v>-49985</v>
      </c>
      <c r="AK119" s="28">
        <f>+Y119-AC119</f>
        <v>-51805.025999999998</v>
      </c>
      <c r="AL119" s="28">
        <f>+Y119-AD119</f>
        <v>-52300</v>
      </c>
      <c r="AM119" s="28">
        <f>+Y119-AE119</f>
        <v>-49985</v>
      </c>
    </row>
    <row r="120" spans="1:39" s="1" customFormat="1" ht="11.25" customHeight="1" x14ac:dyDescent="0.2">
      <c r="A120" s="26"/>
      <c r="B120" s="26"/>
      <c r="C120" s="26"/>
      <c r="D120" s="26"/>
      <c r="E120" s="26"/>
      <c r="F120" s="26"/>
      <c r="G120" s="26" t="s">
        <v>133</v>
      </c>
      <c r="H120" s="28"/>
      <c r="I120" s="28"/>
      <c r="J120" s="28"/>
      <c r="K120" s="28"/>
      <c r="L120" s="28"/>
      <c r="M120" s="28"/>
      <c r="N120" s="28"/>
      <c r="O120" s="28"/>
      <c r="P120" s="28"/>
      <c r="Q120" s="28"/>
      <c r="R120" s="28"/>
      <c r="S120" s="9">
        <v>2261.77</v>
      </c>
      <c r="T120" s="9"/>
      <c r="U120" s="9"/>
      <c r="V120" s="9"/>
      <c r="W120" s="9">
        <v>1105</v>
      </c>
      <c r="X120" s="9"/>
      <c r="Y120" s="9"/>
      <c r="AA120" s="9">
        <v>0</v>
      </c>
      <c r="AC120" s="28"/>
      <c r="AD120" s="28"/>
      <c r="AE120" s="28"/>
      <c r="AG120" s="28"/>
      <c r="AH120" s="28"/>
      <c r="AI120" s="28"/>
      <c r="AK120" s="28"/>
      <c r="AL120" s="28"/>
      <c r="AM120" s="28"/>
    </row>
    <row r="121" spans="1:39" s="1" customFormat="1" ht="11.25" customHeight="1" x14ac:dyDescent="0.2">
      <c r="A121" s="26"/>
      <c r="B121" s="26"/>
      <c r="C121" s="26"/>
      <c r="D121" s="26"/>
      <c r="E121" s="26"/>
      <c r="F121" s="26"/>
      <c r="G121" s="26" t="s">
        <v>134</v>
      </c>
      <c r="H121" s="28"/>
      <c r="I121" s="28"/>
      <c r="J121" s="28"/>
      <c r="K121" s="28">
        <v>45190</v>
      </c>
      <c r="L121" s="28"/>
      <c r="M121" s="28">
        <v>41121</v>
      </c>
      <c r="N121" s="28"/>
      <c r="O121" s="28">
        <v>31792.52</v>
      </c>
      <c r="P121" s="28"/>
      <c r="Q121" s="28">
        <v>29483.8</v>
      </c>
      <c r="R121" s="28"/>
      <c r="S121" s="9">
        <v>32493.27</v>
      </c>
      <c r="T121" s="9"/>
      <c r="U121" s="9"/>
      <c r="V121" s="9"/>
      <c r="W121" s="9">
        <v>51029.2</v>
      </c>
      <c r="X121" s="9"/>
      <c r="Y121" s="9">
        <v>32000</v>
      </c>
      <c r="AA121" s="9">
        <v>32000</v>
      </c>
      <c r="AC121" s="28">
        <f>AVERAGE(K121:S121)</f>
        <v>36016.118000000002</v>
      </c>
      <c r="AD121" s="28">
        <f>MAX(K121:S121)</f>
        <v>45190</v>
      </c>
      <c r="AE121" s="28">
        <f>MIN(K121:S121)</f>
        <v>29483.8</v>
      </c>
      <c r="AG121" s="28">
        <f>+W121-AC121</f>
        <v>15013.081999999995</v>
      </c>
      <c r="AH121" s="28">
        <f>+W121-AD121</f>
        <v>5839.1999999999971</v>
      </c>
      <c r="AI121" s="28">
        <f>+W121-AE121</f>
        <v>21545.399999999998</v>
      </c>
      <c r="AK121" s="28">
        <f>+Y121-AC121</f>
        <v>-4016.1180000000022</v>
      </c>
      <c r="AL121" s="28">
        <f>+Y121-AD121</f>
        <v>-13190</v>
      </c>
      <c r="AM121" s="28">
        <f>+Y121-AE121</f>
        <v>2516.2000000000007</v>
      </c>
    </row>
    <row r="122" spans="1:39" s="1" customFormat="1" ht="11.25" customHeight="1" x14ac:dyDescent="0.2">
      <c r="A122" s="26"/>
      <c r="B122" s="26"/>
      <c r="C122" s="26"/>
      <c r="D122" s="26"/>
      <c r="E122" s="26"/>
      <c r="F122" s="26"/>
      <c r="G122" s="26" t="s">
        <v>356</v>
      </c>
      <c r="H122" s="28"/>
      <c r="I122" s="28"/>
      <c r="J122" s="28"/>
      <c r="K122" s="28"/>
      <c r="L122" s="28"/>
      <c r="M122" s="28"/>
      <c r="N122" s="28"/>
      <c r="O122" s="28"/>
      <c r="P122" s="28"/>
      <c r="Q122" s="28"/>
      <c r="R122" s="28"/>
      <c r="S122" s="9"/>
      <c r="T122" s="9"/>
      <c r="U122" s="9"/>
      <c r="V122" s="9"/>
      <c r="W122" s="9">
        <v>71605.759999999995</v>
      </c>
      <c r="X122" s="9"/>
      <c r="Y122" s="9"/>
      <c r="AA122" s="9"/>
      <c r="AC122" s="28"/>
      <c r="AD122" s="28"/>
      <c r="AE122" s="28"/>
      <c r="AG122" s="28"/>
      <c r="AH122" s="28"/>
      <c r="AI122" s="28"/>
      <c r="AK122" s="28"/>
      <c r="AL122" s="28"/>
      <c r="AM122" s="28"/>
    </row>
    <row r="123" spans="1:39" s="1" customFormat="1" ht="11.25" customHeight="1" x14ac:dyDescent="0.2">
      <c r="A123" s="26"/>
      <c r="B123" s="26"/>
      <c r="C123" s="26"/>
      <c r="D123" s="26"/>
      <c r="E123" s="26"/>
      <c r="F123" s="26"/>
      <c r="G123" s="26" t="s">
        <v>135</v>
      </c>
      <c r="H123" s="28"/>
      <c r="I123" s="28">
        <v>2271</v>
      </c>
      <c r="J123" s="28"/>
      <c r="K123" s="28">
        <v>11854</v>
      </c>
      <c r="L123" s="28"/>
      <c r="M123" s="28">
        <v>13655</v>
      </c>
      <c r="N123" s="28"/>
      <c r="O123" s="28">
        <v>7608.32</v>
      </c>
      <c r="P123" s="28"/>
      <c r="Q123" s="28">
        <v>17521.349999999999</v>
      </c>
      <c r="R123" s="28"/>
      <c r="S123" s="9">
        <v>22706.86</v>
      </c>
      <c r="T123" s="9"/>
      <c r="U123" s="9"/>
      <c r="V123" s="9"/>
      <c r="W123" s="9">
        <v>18377.580000000002</v>
      </c>
      <c r="X123" s="9"/>
      <c r="Y123" s="9">
        <v>27600</v>
      </c>
      <c r="AA123" s="9">
        <v>22600</v>
      </c>
      <c r="AC123" s="28">
        <f t="shared" ref="AC123:AC129" si="55">AVERAGE(K123:S123)</f>
        <v>14669.106</v>
      </c>
      <c r="AD123" s="28">
        <f t="shared" ref="AD123:AD129" si="56">MAX(K123:S123)</f>
        <v>22706.86</v>
      </c>
      <c r="AE123" s="28">
        <f t="shared" ref="AE123:AE129" si="57">MIN(K123:S123)</f>
        <v>7608.32</v>
      </c>
      <c r="AG123" s="28">
        <f t="shared" ref="AG123:AG129" si="58">+W123-AC123</f>
        <v>3708.474000000002</v>
      </c>
      <c r="AH123" s="28">
        <f t="shared" ref="AH123:AH129" si="59">+W123-AD123</f>
        <v>-4329.2799999999988</v>
      </c>
      <c r="AI123" s="28">
        <f t="shared" ref="AI123:AI129" si="60">+W123-AE123</f>
        <v>10769.260000000002</v>
      </c>
      <c r="AK123" s="28">
        <f t="shared" ref="AK123:AK129" si="61">+Y123-AC123</f>
        <v>12930.894</v>
      </c>
      <c r="AL123" s="28">
        <f t="shared" ref="AL123:AL129" si="62">+Y123-AD123</f>
        <v>4893.1399999999994</v>
      </c>
      <c r="AM123" s="28">
        <f t="shared" ref="AM123:AM129" si="63">+Y123-AE123</f>
        <v>19991.68</v>
      </c>
    </row>
    <row r="124" spans="1:39" s="1" customFormat="1" ht="11.25" customHeight="1" x14ac:dyDescent="0.2">
      <c r="A124" s="26"/>
      <c r="B124" s="26"/>
      <c r="C124" s="26"/>
      <c r="D124" s="26"/>
      <c r="E124" s="26"/>
      <c r="F124" s="26"/>
      <c r="G124" s="26" t="s">
        <v>136</v>
      </c>
      <c r="H124" s="28"/>
      <c r="I124" s="28">
        <v>18170</v>
      </c>
      <c r="J124" s="28"/>
      <c r="K124" s="28">
        <v>8715</v>
      </c>
      <c r="L124" s="28"/>
      <c r="M124" s="28">
        <v>20250</v>
      </c>
      <c r="N124" s="28"/>
      <c r="O124" s="28">
        <v>4716.6000000000004</v>
      </c>
      <c r="P124" s="28"/>
      <c r="Q124" s="28">
        <v>22655.08</v>
      </c>
      <c r="R124" s="28"/>
      <c r="S124" s="9">
        <v>14990.07</v>
      </c>
      <c r="T124" s="9"/>
      <c r="U124" s="9"/>
      <c r="V124" s="9"/>
      <c r="W124" s="9">
        <v>8929.2800000000007</v>
      </c>
      <c r="X124" s="9"/>
      <c r="Y124" s="9">
        <v>15000</v>
      </c>
      <c r="AA124" s="9">
        <v>15000</v>
      </c>
      <c r="AC124" s="28">
        <f t="shared" si="55"/>
        <v>14265.35</v>
      </c>
      <c r="AD124" s="28">
        <f t="shared" si="56"/>
        <v>22655.08</v>
      </c>
      <c r="AE124" s="28">
        <f t="shared" si="57"/>
        <v>4716.6000000000004</v>
      </c>
      <c r="AG124" s="28">
        <f t="shared" si="58"/>
        <v>-5336.07</v>
      </c>
      <c r="AH124" s="28">
        <f t="shared" si="59"/>
        <v>-13725.800000000001</v>
      </c>
      <c r="AI124" s="28">
        <f t="shared" si="60"/>
        <v>4212.68</v>
      </c>
      <c r="AK124" s="28">
        <f t="shared" si="61"/>
        <v>734.64999999999964</v>
      </c>
      <c r="AL124" s="28">
        <f t="shared" si="62"/>
        <v>-7655.0800000000017</v>
      </c>
      <c r="AM124" s="28">
        <f t="shared" si="63"/>
        <v>10283.4</v>
      </c>
    </row>
    <row r="125" spans="1:39" s="1" customFormat="1" ht="11.25" customHeight="1" x14ac:dyDescent="0.2">
      <c r="A125" s="26"/>
      <c r="B125" s="26"/>
      <c r="C125" s="26"/>
      <c r="D125" s="26"/>
      <c r="E125" s="26"/>
      <c r="F125" s="26"/>
      <c r="G125" s="26" t="s">
        <v>137</v>
      </c>
      <c r="H125" s="28"/>
      <c r="I125" s="28">
        <v>10021</v>
      </c>
      <c r="J125" s="28"/>
      <c r="K125" s="28">
        <v>8605</v>
      </c>
      <c r="L125" s="28"/>
      <c r="M125" s="28">
        <v>17349</v>
      </c>
      <c r="N125" s="28"/>
      <c r="O125" s="28">
        <v>6249.04</v>
      </c>
      <c r="P125" s="28"/>
      <c r="Q125" s="28">
        <v>7871.26</v>
      </c>
      <c r="R125" s="28"/>
      <c r="S125" s="9">
        <v>7971.68</v>
      </c>
      <c r="T125" s="9"/>
      <c r="U125" s="9"/>
      <c r="V125" s="9"/>
      <c r="W125" s="9">
        <v>7049.34</v>
      </c>
      <c r="X125" s="9"/>
      <c r="Y125" s="9">
        <v>8000</v>
      </c>
      <c r="AA125" s="9">
        <v>6000</v>
      </c>
      <c r="AC125" s="28">
        <f t="shared" si="55"/>
        <v>9609.1959999999999</v>
      </c>
      <c r="AD125" s="28">
        <f t="shared" si="56"/>
        <v>17349</v>
      </c>
      <c r="AE125" s="28">
        <f t="shared" si="57"/>
        <v>6249.04</v>
      </c>
      <c r="AG125" s="28">
        <f t="shared" si="58"/>
        <v>-2559.8559999999998</v>
      </c>
      <c r="AH125" s="28">
        <f t="shared" si="59"/>
        <v>-10299.66</v>
      </c>
      <c r="AI125" s="28">
        <f t="shared" si="60"/>
        <v>800.30000000000018</v>
      </c>
      <c r="AK125" s="28">
        <f t="shared" si="61"/>
        <v>-1609.1959999999999</v>
      </c>
      <c r="AL125" s="28">
        <f t="shared" si="62"/>
        <v>-9349</v>
      </c>
      <c r="AM125" s="28">
        <f t="shared" si="63"/>
        <v>1750.96</v>
      </c>
    </row>
    <row r="126" spans="1:39" s="1" customFormat="1" ht="11.25" customHeight="1" x14ac:dyDescent="0.2">
      <c r="A126" s="26"/>
      <c r="B126" s="26"/>
      <c r="C126" s="26"/>
      <c r="D126" s="26"/>
      <c r="E126" s="26"/>
      <c r="F126" s="26"/>
      <c r="G126" s="26" t="s">
        <v>138</v>
      </c>
      <c r="H126" s="28"/>
      <c r="I126" s="28">
        <v>2400</v>
      </c>
      <c r="J126" s="28"/>
      <c r="K126" s="28"/>
      <c r="L126" s="28"/>
      <c r="M126" s="28"/>
      <c r="N126" s="28"/>
      <c r="O126" s="28">
        <v>380</v>
      </c>
      <c r="P126" s="28"/>
      <c r="Q126" s="28">
        <v>0</v>
      </c>
      <c r="R126" s="28"/>
      <c r="S126" s="9">
        <v>0</v>
      </c>
      <c r="T126" s="9"/>
      <c r="U126" s="9"/>
      <c r="V126" s="9"/>
      <c r="W126" s="9">
        <v>0</v>
      </c>
      <c r="X126" s="9"/>
      <c r="Y126" s="9">
        <v>1000</v>
      </c>
      <c r="AA126" s="9">
        <v>1000</v>
      </c>
      <c r="AC126" s="28">
        <f t="shared" si="55"/>
        <v>126.66666666666667</v>
      </c>
      <c r="AD126" s="28">
        <f t="shared" si="56"/>
        <v>380</v>
      </c>
      <c r="AE126" s="28">
        <f t="shared" si="57"/>
        <v>0</v>
      </c>
      <c r="AG126" s="28">
        <f t="shared" si="58"/>
        <v>-126.66666666666667</v>
      </c>
      <c r="AH126" s="28">
        <f t="shared" si="59"/>
        <v>-380</v>
      </c>
      <c r="AI126" s="28">
        <f t="shared" si="60"/>
        <v>0</v>
      </c>
      <c r="AK126" s="28">
        <f t="shared" si="61"/>
        <v>873.33333333333337</v>
      </c>
      <c r="AL126" s="28">
        <f t="shared" si="62"/>
        <v>620</v>
      </c>
      <c r="AM126" s="28">
        <f t="shared" si="63"/>
        <v>1000</v>
      </c>
    </row>
    <row r="127" spans="1:39" s="1" customFormat="1" ht="11.25" customHeight="1" x14ac:dyDescent="0.2">
      <c r="A127" s="26"/>
      <c r="B127" s="26"/>
      <c r="C127" s="26"/>
      <c r="D127" s="26"/>
      <c r="E127" s="26"/>
      <c r="F127" s="26"/>
      <c r="G127" s="26" t="s">
        <v>139</v>
      </c>
      <c r="H127" s="28"/>
      <c r="I127" s="28">
        <v>21913</v>
      </c>
      <c r="J127" s="28"/>
      <c r="K127" s="28">
        <v>11631</v>
      </c>
      <c r="L127" s="28"/>
      <c r="M127" s="28">
        <v>10701</v>
      </c>
      <c r="N127" s="28"/>
      <c r="O127" s="28">
        <v>10686.42</v>
      </c>
      <c r="P127" s="28"/>
      <c r="Q127" s="28">
        <v>1196.74</v>
      </c>
      <c r="R127" s="28"/>
      <c r="S127" s="9">
        <v>5850.55</v>
      </c>
      <c r="T127" s="9"/>
      <c r="U127" s="9"/>
      <c r="V127" s="9"/>
      <c r="W127" s="9">
        <v>6155</v>
      </c>
      <c r="X127" s="9"/>
      <c r="Y127" s="9">
        <v>11500</v>
      </c>
      <c r="AA127" s="9"/>
      <c r="AC127" s="28">
        <f t="shared" si="55"/>
        <v>8013.1419999999998</v>
      </c>
      <c r="AD127" s="28">
        <f t="shared" si="56"/>
        <v>11631</v>
      </c>
      <c r="AE127" s="28">
        <f t="shared" si="57"/>
        <v>1196.74</v>
      </c>
      <c r="AG127" s="28">
        <f t="shared" si="58"/>
        <v>-1858.1419999999998</v>
      </c>
      <c r="AH127" s="28">
        <f t="shared" si="59"/>
        <v>-5476</v>
      </c>
      <c r="AI127" s="28">
        <f t="shared" si="60"/>
        <v>4958.26</v>
      </c>
      <c r="AK127" s="28">
        <f t="shared" si="61"/>
        <v>3486.8580000000002</v>
      </c>
      <c r="AL127" s="28">
        <f t="shared" si="62"/>
        <v>-131</v>
      </c>
      <c r="AM127" s="28">
        <f t="shared" si="63"/>
        <v>10303.26</v>
      </c>
    </row>
    <row r="128" spans="1:39" s="1" customFormat="1" ht="11.25" customHeight="1" x14ac:dyDescent="0.2">
      <c r="A128" s="26"/>
      <c r="B128" s="26"/>
      <c r="C128" s="26"/>
      <c r="D128" s="26"/>
      <c r="E128" s="26"/>
      <c r="F128" s="26"/>
      <c r="G128" s="26" t="s">
        <v>140</v>
      </c>
      <c r="H128" s="28"/>
      <c r="I128" s="28"/>
      <c r="J128" s="28"/>
      <c r="K128" s="28">
        <v>6345</v>
      </c>
      <c r="L128" s="28"/>
      <c r="M128" s="28">
        <v>18291</v>
      </c>
      <c r="N128" s="28"/>
      <c r="O128" s="28">
        <v>0</v>
      </c>
      <c r="P128" s="28"/>
      <c r="Q128" s="28">
        <v>2024.19</v>
      </c>
      <c r="R128" s="28"/>
      <c r="S128" s="9">
        <v>514.44000000000005</v>
      </c>
      <c r="T128" s="9"/>
      <c r="U128" s="9"/>
      <c r="V128" s="9"/>
      <c r="W128" s="9">
        <v>514.92999999999995</v>
      </c>
      <c r="X128" s="9"/>
      <c r="Y128" s="9">
        <v>7000</v>
      </c>
      <c r="AA128" s="9">
        <v>1000</v>
      </c>
      <c r="AC128" s="28">
        <f t="shared" si="55"/>
        <v>5434.9259999999995</v>
      </c>
      <c r="AD128" s="28">
        <f t="shared" si="56"/>
        <v>18291</v>
      </c>
      <c r="AE128" s="28">
        <f t="shared" si="57"/>
        <v>0</v>
      </c>
      <c r="AG128" s="28">
        <f t="shared" si="58"/>
        <v>-4919.9959999999992</v>
      </c>
      <c r="AH128" s="28">
        <f t="shared" si="59"/>
        <v>-17776.07</v>
      </c>
      <c r="AI128" s="28">
        <f t="shared" si="60"/>
        <v>514.92999999999995</v>
      </c>
      <c r="AK128" s="28">
        <f t="shared" si="61"/>
        <v>1565.0740000000005</v>
      </c>
      <c r="AL128" s="28">
        <f t="shared" si="62"/>
        <v>-11291</v>
      </c>
      <c r="AM128" s="28">
        <f t="shared" si="63"/>
        <v>7000</v>
      </c>
    </row>
    <row r="129" spans="1:39" s="1" customFormat="1" ht="12" customHeight="1" thickBot="1" x14ac:dyDescent="0.25">
      <c r="A129" s="26"/>
      <c r="B129" s="26"/>
      <c r="C129" s="26"/>
      <c r="D129" s="26"/>
      <c r="E129" s="26"/>
      <c r="F129" s="26"/>
      <c r="G129" s="26" t="s">
        <v>141</v>
      </c>
      <c r="H129" s="28"/>
      <c r="I129" s="31"/>
      <c r="J129" s="28"/>
      <c r="K129" s="31"/>
      <c r="L129" s="28"/>
      <c r="M129" s="31">
        <v>85000</v>
      </c>
      <c r="N129" s="28"/>
      <c r="O129" s="31">
        <v>0</v>
      </c>
      <c r="P129" s="31"/>
      <c r="Q129" s="28">
        <v>25067</v>
      </c>
      <c r="R129" s="28"/>
      <c r="S129" s="9">
        <v>31345.3</v>
      </c>
      <c r="T129" s="11"/>
      <c r="U129" s="11"/>
      <c r="V129" s="9"/>
      <c r="W129" s="9">
        <v>37252.550000000003</v>
      </c>
      <c r="X129" s="9"/>
      <c r="Y129" s="11"/>
      <c r="AA129" s="11"/>
      <c r="AB129" s="28"/>
      <c r="AC129" s="31">
        <f t="shared" si="55"/>
        <v>35353.074999999997</v>
      </c>
      <c r="AD129" s="31">
        <f t="shared" si="56"/>
        <v>85000</v>
      </c>
      <c r="AE129" s="31">
        <f t="shared" si="57"/>
        <v>0</v>
      </c>
      <c r="AG129" s="31">
        <f t="shared" si="58"/>
        <v>1899.4750000000058</v>
      </c>
      <c r="AH129" s="31">
        <f t="shared" si="59"/>
        <v>-47747.45</v>
      </c>
      <c r="AI129" s="31">
        <f t="shared" si="60"/>
        <v>37252.550000000003</v>
      </c>
      <c r="AK129" s="31">
        <f t="shared" si="61"/>
        <v>-35353.074999999997</v>
      </c>
      <c r="AL129" s="31">
        <f t="shared" si="62"/>
        <v>-85000</v>
      </c>
      <c r="AM129" s="31">
        <f t="shared" si="63"/>
        <v>0</v>
      </c>
    </row>
    <row r="130" spans="1:39" s="1" customFormat="1" ht="12" customHeight="1" thickBot="1" x14ac:dyDescent="0.25">
      <c r="A130" s="26"/>
      <c r="B130" s="26"/>
      <c r="C130" s="26"/>
      <c r="D130" s="26"/>
      <c r="E130" s="26"/>
      <c r="F130" s="26" t="s">
        <v>142</v>
      </c>
      <c r="G130" s="26"/>
      <c r="H130" s="28"/>
      <c r="I130" s="32">
        <f>ROUND(SUM(I117:I129),5)</f>
        <v>107022</v>
      </c>
      <c r="J130" s="28"/>
      <c r="K130" s="32">
        <f>ROUND(SUM(K117:K129),5)</f>
        <v>165774</v>
      </c>
      <c r="L130" s="28"/>
      <c r="M130" s="32">
        <f>ROUND(SUM(M117:M129),5)</f>
        <v>264895</v>
      </c>
      <c r="N130" s="28"/>
      <c r="O130" s="32">
        <f>ROUND(SUM(O117:O129),5)</f>
        <v>120369.24</v>
      </c>
      <c r="P130" s="32"/>
      <c r="Q130" s="32">
        <f>ROUND(SUM(Q117:Q129),5)</f>
        <v>169146.72</v>
      </c>
      <c r="R130" s="32"/>
      <c r="S130" s="12">
        <f>ROUND(SUM(S117:S129),5)</f>
        <v>178287.03</v>
      </c>
      <c r="T130" s="11"/>
      <c r="U130" s="11"/>
      <c r="V130" s="9"/>
      <c r="W130" s="12">
        <f>ROUND(SUM(W117:W129),5)</f>
        <v>210050.28</v>
      </c>
      <c r="X130" s="9"/>
      <c r="Y130" s="12">
        <f>ROUND(SUM(Y117:Y129),5)</f>
        <v>111600</v>
      </c>
      <c r="AA130" s="12">
        <f>ROUND(SUM(AA117:AA129),5)</f>
        <v>87100</v>
      </c>
      <c r="AC130" s="32">
        <f>ROUND(SUM(AC117:AC129),5)</f>
        <v>186363.32566999999</v>
      </c>
      <c r="AD130" s="32">
        <f>ROUND(SUM(AD117:AD129),5)</f>
        <v>296689.94</v>
      </c>
      <c r="AE130" s="32">
        <f>ROUND(SUM(AE117:AE129),5)</f>
        <v>105467.5</v>
      </c>
      <c r="AG130" s="32">
        <f>ROUND(SUM(AG117:AG129),5)</f>
        <v>-49023.805670000002</v>
      </c>
      <c r="AH130" s="32">
        <f>ROUND(SUM(AH117:AH129),5)</f>
        <v>-159350.42000000001</v>
      </c>
      <c r="AI130" s="32">
        <f>ROUND(SUM(AI117:AI129),5)</f>
        <v>31872.02</v>
      </c>
      <c r="AK130" s="32">
        <f>ROUND(SUM(AK117:AK129),5)</f>
        <v>-74763.325670000006</v>
      </c>
      <c r="AL130" s="32">
        <f>ROUND(SUM(AL117:AL129),5)</f>
        <v>-185089.94</v>
      </c>
      <c r="AM130" s="32">
        <f>ROUND(SUM(AM117:AM129),5)</f>
        <v>6132.5</v>
      </c>
    </row>
    <row r="131" spans="1:39" s="1" customFormat="1" ht="11.25" customHeight="1" x14ac:dyDescent="0.2">
      <c r="A131" s="26"/>
      <c r="B131" s="26"/>
      <c r="C131" s="26"/>
      <c r="D131" s="26"/>
      <c r="E131" s="35" t="s">
        <v>143</v>
      </c>
      <c r="F131" s="26"/>
      <c r="G131" s="26"/>
      <c r="H131" s="28"/>
      <c r="I131" s="28">
        <f>ROUND(I90+I116+I130,5)</f>
        <v>466993</v>
      </c>
      <c r="J131" s="28"/>
      <c r="K131" s="28">
        <f>ROUND(K90+K116+K130,5)</f>
        <v>499499</v>
      </c>
      <c r="L131" s="28"/>
      <c r="M131" s="28">
        <f>ROUND(M90+M116+M130,5)</f>
        <v>542155</v>
      </c>
      <c r="N131" s="28"/>
      <c r="O131" s="28">
        <f>ROUND(O90+O116+O130,5)</f>
        <v>748496.4</v>
      </c>
      <c r="P131" s="28"/>
      <c r="Q131" s="28">
        <f>ROUND(Q90+Q116+Q130,5)</f>
        <v>453783.95</v>
      </c>
      <c r="R131" s="28"/>
      <c r="S131" s="9">
        <f>ROUND(S90+S116+S130,5)</f>
        <v>815518.27</v>
      </c>
      <c r="T131" s="9"/>
      <c r="U131" s="9"/>
      <c r="V131" s="9"/>
      <c r="W131" s="9">
        <f>ROUND(W90+W116+W130,5)</f>
        <v>665504.86</v>
      </c>
      <c r="X131" s="9"/>
      <c r="Y131" s="9">
        <f>ROUND(Y90+Y116+Y130,5)</f>
        <v>546035</v>
      </c>
      <c r="AA131" s="9">
        <f>ROUND(AA90+AA116+AA130,5)</f>
        <v>505650</v>
      </c>
      <c r="AC131" s="28">
        <f>ROUND(AC90+AC116+AC130,5)</f>
        <v>597630.45166999998</v>
      </c>
      <c r="AD131" s="28">
        <f>ROUND(AD90+AD116+AD130,5)</f>
        <v>1324189.95</v>
      </c>
      <c r="AE131" s="28">
        <f>ROUND(AE90+AE116+AE130,5)</f>
        <v>350822.37</v>
      </c>
      <c r="AG131" s="28">
        <f>ROUND(AG90+AG116+AG130,5)</f>
        <v>-40127.69167</v>
      </c>
      <c r="AH131" s="28">
        <f>ROUND(AH90+AH116+AH130,5)</f>
        <v>-733767.19</v>
      </c>
      <c r="AI131" s="28">
        <f>ROUND(AI90+AI116+AI130,5)</f>
        <v>239600.39</v>
      </c>
      <c r="AK131" s="28">
        <f>ROUND(AK90+AK116+AK130,5)</f>
        <v>-204495.45167000001</v>
      </c>
      <c r="AL131" s="28">
        <f>ROUND(AL90+AL116+AL130,5)</f>
        <v>-778154.95</v>
      </c>
      <c r="AM131" s="28">
        <f>ROUND(AM90+AM116+AM130,5)</f>
        <v>195212.63</v>
      </c>
    </row>
    <row r="132" spans="1:39" s="1" customFormat="1" ht="11.25" customHeight="1" x14ac:dyDescent="0.2">
      <c r="A132" s="26"/>
      <c r="B132" s="26"/>
      <c r="C132" s="26"/>
      <c r="D132" s="26"/>
      <c r="E132" s="26"/>
      <c r="F132" s="26"/>
      <c r="G132" s="26"/>
      <c r="H132" s="28"/>
      <c r="I132" s="28"/>
      <c r="J132" s="28"/>
      <c r="K132" s="28"/>
      <c r="L132" s="28"/>
      <c r="M132" s="28"/>
      <c r="N132" s="28"/>
      <c r="O132" s="28"/>
      <c r="P132" s="28"/>
      <c r="Q132" s="28"/>
      <c r="R132" s="28"/>
      <c r="S132" s="9"/>
      <c r="T132" s="9"/>
      <c r="U132" s="9"/>
      <c r="V132" s="9"/>
      <c r="W132" s="9"/>
      <c r="X132" s="9"/>
      <c r="Y132" s="9"/>
      <c r="AA132" s="9"/>
      <c r="AC132" s="28"/>
      <c r="AD132" s="28"/>
      <c r="AE132" s="28"/>
      <c r="AG132" s="28"/>
      <c r="AH132" s="28"/>
      <c r="AI132" s="28"/>
      <c r="AK132" s="28"/>
      <c r="AL132" s="28"/>
      <c r="AM132" s="28"/>
    </row>
    <row r="133" spans="1:39" s="1" customFormat="1" ht="11.25" customHeight="1" x14ac:dyDescent="0.2">
      <c r="A133" s="26"/>
      <c r="B133" s="26"/>
      <c r="C133" s="26"/>
      <c r="D133" s="26"/>
      <c r="E133" s="35" t="s">
        <v>144</v>
      </c>
      <c r="F133" s="26"/>
      <c r="G133" s="26"/>
      <c r="H133" s="28"/>
      <c r="I133" s="28"/>
      <c r="J133" s="28"/>
      <c r="K133" s="28"/>
      <c r="L133" s="28"/>
      <c r="M133" s="28"/>
      <c r="N133" s="28"/>
      <c r="O133" s="28"/>
      <c r="P133" s="28"/>
      <c r="Q133" s="28"/>
      <c r="R133" s="28"/>
      <c r="S133" s="9"/>
      <c r="T133" s="9"/>
      <c r="U133" s="9"/>
      <c r="V133" s="9"/>
      <c r="W133" s="9"/>
      <c r="X133" s="9"/>
      <c r="Y133" s="9"/>
      <c r="AA133" s="9"/>
      <c r="AC133" s="28"/>
      <c r="AD133" s="28"/>
      <c r="AE133" s="28"/>
      <c r="AG133" s="28"/>
      <c r="AH133" s="28"/>
      <c r="AI133" s="28"/>
      <c r="AK133" s="28"/>
      <c r="AL133" s="28"/>
      <c r="AM133" s="28"/>
    </row>
    <row r="134" spans="1:39" s="1" customFormat="1" ht="11.25" customHeight="1" x14ac:dyDescent="0.2">
      <c r="A134" s="26"/>
      <c r="B134" s="26"/>
      <c r="C134" s="26"/>
      <c r="D134" s="26"/>
      <c r="E134" s="26"/>
      <c r="F134" s="26" t="s">
        <v>145</v>
      </c>
      <c r="G134" s="26"/>
      <c r="H134" s="28"/>
      <c r="I134" s="28"/>
      <c r="J134" s="28"/>
      <c r="K134" s="28"/>
      <c r="L134" s="28"/>
      <c r="M134" s="28"/>
      <c r="N134" s="28"/>
      <c r="O134" s="28"/>
      <c r="P134" s="28"/>
      <c r="Q134" s="28"/>
      <c r="R134" s="28"/>
      <c r="S134" s="9"/>
      <c r="T134" s="9"/>
      <c r="U134" s="9"/>
      <c r="V134" s="9"/>
      <c r="W134" s="9"/>
      <c r="X134" s="9"/>
      <c r="Y134" s="9"/>
      <c r="AA134" s="9"/>
      <c r="AC134" s="28"/>
      <c r="AD134" s="28"/>
      <c r="AE134" s="28"/>
      <c r="AG134" s="28"/>
      <c r="AH134" s="28"/>
      <c r="AI134" s="28"/>
      <c r="AK134" s="28"/>
      <c r="AL134" s="28"/>
      <c r="AM134" s="28"/>
    </row>
    <row r="135" spans="1:39" s="1" customFormat="1" ht="11.25" customHeight="1" x14ac:dyDescent="0.2">
      <c r="A135" s="26"/>
      <c r="B135" s="26"/>
      <c r="C135" s="26"/>
      <c r="D135" s="26"/>
      <c r="E135" s="26"/>
      <c r="F135" s="26"/>
      <c r="G135" s="26" t="s">
        <v>146</v>
      </c>
      <c r="H135" s="28"/>
      <c r="I135" s="28">
        <v>203816</v>
      </c>
      <c r="J135" s="28"/>
      <c r="K135" s="28">
        <v>211654</v>
      </c>
      <c r="L135" s="28"/>
      <c r="M135" s="28">
        <v>211155</v>
      </c>
      <c r="N135" s="28"/>
      <c r="O135" s="28">
        <v>245555.14</v>
      </c>
      <c r="P135" s="28"/>
      <c r="Q135" s="28">
        <v>256466.3</v>
      </c>
      <c r="R135" s="28"/>
      <c r="S135" s="9">
        <v>284414.59000000003</v>
      </c>
      <c r="T135" s="9"/>
      <c r="U135" s="9"/>
      <c r="V135" s="9"/>
      <c r="W135" s="8">
        <v>205827.3</v>
      </c>
      <c r="X135" s="9"/>
      <c r="Y135" s="9">
        <v>293038</v>
      </c>
      <c r="AA135" s="9">
        <v>300456</v>
      </c>
      <c r="AC135" s="28">
        <f>AVERAGE(K135:S135)</f>
        <v>241849.00599999999</v>
      </c>
      <c r="AD135" s="28">
        <f>MAX(K135:S135)</f>
        <v>284414.59000000003</v>
      </c>
      <c r="AE135" s="28">
        <f>MIN(K135:S135)</f>
        <v>211155</v>
      </c>
      <c r="AG135" s="28">
        <f>+W135-AC135</f>
        <v>-36021.706000000006</v>
      </c>
      <c r="AH135" s="28">
        <f>+W135-AD135</f>
        <v>-78587.290000000037</v>
      </c>
      <c r="AI135" s="28">
        <f>+W135-AE135</f>
        <v>-5327.7000000000116</v>
      </c>
      <c r="AK135" s="28">
        <f>+Y135-AC135</f>
        <v>51188.994000000006</v>
      </c>
      <c r="AL135" s="28">
        <f>+Y135-AD135</f>
        <v>8623.4099999999744</v>
      </c>
      <c r="AM135" s="28">
        <f>+Y135-AE135</f>
        <v>81883</v>
      </c>
    </row>
    <row r="136" spans="1:39" s="1" customFormat="1" ht="11.25" customHeight="1" x14ac:dyDescent="0.2">
      <c r="A136" s="26"/>
      <c r="B136" s="26"/>
      <c r="C136" s="26"/>
      <c r="D136" s="26"/>
      <c r="E136" s="26"/>
      <c r="F136" s="26"/>
      <c r="G136" s="26" t="s">
        <v>147</v>
      </c>
      <c r="H136" s="28"/>
      <c r="I136" s="28">
        <v>19389</v>
      </c>
      <c r="J136" s="28"/>
      <c r="K136" s="28">
        <v>20306</v>
      </c>
      <c r="L136" s="28"/>
      <c r="M136" s="28">
        <v>19258</v>
      </c>
      <c r="N136" s="28"/>
      <c r="O136" s="28">
        <v>20676.189999999999</v>
      </c>
      <c r="P136" s="28"/>
      <c r="Q136" s="28">
        <v>20955.72</v>
      </c>
      <c r="R136" s="28"/>
      <c r="S136" s="9">
        <v>22567.49</v>
      </c>
      <c r="T136" s="9"/>
      <c r="U136" s="9"/>
      <c r="V136" s="9"/>
      <c r="W136" s="8">
        <v>17667.810000000001</v>
      </c>
      <c r="X136" s="9"/>
      <c r="Y136" s="9">
        <v>22416</v>
      </c>
      <c r="AA136" s="9">
        <f>+AA135*0.0765</f>
        <v>22984.883999999998</v>
      </c>
      <c r="AC136" s="28">
        <f>AVERAGE(K136:S136)</f>
        <v>20752.68</v>
      </c>
      <c r="AD136" s="28">
        <f>MAX(K136:S136)</f>
        <v>22567.49</v>
      </c>
      <c r="AE136" s="28">
        <f>MIN(K136:S136)</f>
        <v>19258</v>
      </c>
      <c r="AG136" s="28">
        <f>+W136-AC136</f>
        <v>-3084.869999999999</v>
      </c>
      <c r="AH136" s="28">
        <f>+W136-AD136</f>
        <v>-4899.68</v>
      </c>
      <c r="AI136" s="28">
        <f>+W136-AE136</f>
        <v>-1590.1899999999987</v>
      </c>
      <c r="AK136" s="28">
        <f>+Y136-AC136</f>
        <v>1663.3199999999997</v>
      </c>
      <c r="AL136" s="28">
        <f>+Y136-AD136</f>
        <v>-151.4900000000016</v>
      </c>
      <c r="AM136" s="28">
        <f>+Y136-AE136</f>
        <v>3158</v>
      </c>
    </row>
    <row r="137" spans="1:39" s="1" customFormat="1" ht="11.25" customHeight="1" x14ac:dyDescent="0.2">
      <c r="A137" s="26"/>
      <c r="B137" s="26"/>
      <c r="C137" s="26"/>
      <c r="D137" s="26"/>
      <c r="E137" s="26"/>
      <c r="F137" s="26"/>
      <c r="G137" s="26" t="s">
        <v>148</v>
      </c>
      <c r="H137" s="28"/>
      <c r="I137" s="28">
        <v>42309</v>
      </c>
      <c r="J137" s="28"/>
      <c r="K137" s="28">
        <v>43705</v>
      </c>
      <c r="L137" s="28"/>
      <c r="M137" s="28">
        <v>54362</v>
      </c>
      <c r="N137" s="28"/>
      <c r="O137" s="28">
        <v>48066.96</v>
      </c>
      <c r="P137" s="28"/>
      <c r="Q137" s="28">
        <v>44081.58</v>
      </c>
      <c r="R137" s="28"/>
      <c r="S137" s="9">
        <v>51043.77</v>
      </c>
      <c r="T137" s="9"/>
      <c r="U137" s="9"/>
      <c r="V137" s="9"/>
      <c r="W137" s="8">
        <v>41587.879999999997</v>
      </c>
      <c r="X137" s="9"/>
      <c r="Y137" s="9">
        <v>40316</v>
      </c>
      <c r="AA137" s="9">
        <v>57873</v>
      </c>
      <c r="AC137" s="28">
        <f>AVERAGE(K137:S137)</f>
        <v>48251.861999999994</v>
      </c>
      <c r="AD137" s="28">
        <f>MAX(K137:S137)</f>
        <v>54362</v>
      </c>
      <c r="AE137" s="28">
        <f>MIN(K137:S137)</f>
        <v>43705</v>
      </c>
      <c r="AG137" s="28">
        <f>+W137-AC137</f>
        <v>-6663.9819999999963</v>
      </c>
      <c r="AH137" s="28">
        <f>+W137-AD137</f>
        <v>-12774.120000000003</v>
      </c>
      <c r="AI137" s="28">
        <f>+W137-AE137</f>
        <v>-2117.1200000000026</v>
      </c>
      <c r="AK137" s="28">
        <f>+Y137-AC137</f>
        <v>-7935.8619999999937</v>
      </c>
      <c r="AL137" s="28">
        <f>+Y137-AD137</f>
        <v>-14046</v>
      </c>
      <c r="AM137" s="28">
        <f>+Y137-AE137</f>
        <v>-3389</v>
      </c>
    </row>
    <row r="138" spans="1:39" s="1" customFormat="1" ht="11.25" customHeight="1" x14ac:dyDescent="0.2">
      <c r="A138" s="26"/>
      <c r="B138" s="26"/>
      <c r="C138" s="26"/>
      <c r="D138" s="26"/>
      <c r="E138" s="26"/>
      <c r="F138" s="26"/>
      <c r="G138" s="26" t="s">
        <v>149</v>
      </c>
      <c r="H138" s="28"/>
      <c r="I138" s="28">
        <v>4704</v>
      </c>
      <c r="J138" s="28"/>
      <c r="K138" s="28">
        <v>7710</v>
      </c>
      <c r="L138" s="28"/>
      <c r="M138" s="28">
        <v>6482</v>
      </c>
      <c r="N138" s="28"/>
      <c r="O138" s="28">
        <v>5333.59</v>
      </c>
      <c r="P138" s="28"/>
      <c r="Q138" s="28">
        <v>2182.23</v>
      </c>
      <c r="R138" s="28"/>
      <c r="S138" s="9">
        <v>5766.88</v>
      </c>
      <c r="T138" s="9"/>
      <c r="U138" s="9"/>
      <c r="V138" s="9"/>
      <c r="W138" s="8">
        <v>4298.7</v>
      </c>
      <c r="X138" s="9"/>
      <c r="Y138" s="9">
        <v>7285</v>
      </c>
      <c r="AA138" s="9">
        <v>6709</v>
      </c>
      <c r="AC138" s="28">
        <f>AVERAGE(K138:S138)</f>
        <v>5494.9400000000005</v>
      </c>
      <c r="AD138" s="28">
        <f>MAX(K138:S138)</f>
        <v>7710</v>
      </c>
      <c r="AE138" s="28">
        <f>MIN(K138:S138)</f>
        <v>2182.23</v>
      </c>
      <c r="AG138" s="28">
        <f>+W138-AC138</f>
        <v>-1196.2400000000007</v>
      </c>
      <c r="AH138" s="28">
        <f>+W138-AD138</f>
        <v>-3411.3</v>
      </c>
      <c r="AI138" s="28">
        <f>+W138-AE138</f>
        <v>2116.4699999999998</v>
      </c>
      <c r="AK138" s="28">
        <f>+Y138-AC138</f>
        <v>1790.0599999999995</v>
      </c>
      <c r="AL138" s="28">
        <f>+Y138-AD138</f>
        <v>-425</v>
      </c>
      <c r="AM138" s="28">
        <f>+Y138-AE138</f>
        <v>5102.7700000000004</v>
      </c>
    </row>
    <row r="139" spans="1:39" s="1" customFormat="1" ht="12" customHeight="1" thickBot="1" x14ac:dyDescent="0.25">
      <c r="A139" s="26"/>
      <c r="B139" s="26"/>
      <c r="C139" s="26"/>
      <c r="D139" s="26"/>
      <c r="E139" s="26"/>
      <c r="F139" s="26"/>
      <c r="G139" s="26" t="s">
        <v>150</v>
      </c>
      <c r="H139" s="28"/>
      <c r="I139" s="33"/>
      <c r="J139" s="28"/>
      <c r="K139" s="33"/>
      <c r="L139" s="28"/>
      <c r="M139" s="33"/>
      <c r="N139" s="28"/>
      <c r="O139" s="33"/>
      <c r="P139" s="33"/>
      <c r="Q139" s="33">
        <v>0</v>
      </c>
      <c r="R139" s="33"/>
      <c r="S139" s="14">
        <v>808.89</v>
      </c>
      <c r="T139" s="11"/>
      <c r="U139" s="11"/>
      <c r="V139" s="9"/>
      <c r="W139" s="13">
        <v>1762.9</v>
      </c>
      <c r="X139" s="9"/>
      <c r="Y139" s="14">
        <v>850</v>
      </c>
      <c r="AA139" s="14">
        <f>+AA135*0.29/100</f>
        <v>871.3223999999999</v>
      </c>
      <c r="AC139" s="33">
        <f>AVERAGE(K139:S139)</f>
        <v>404.44499999999999</v>
      </c>
      <c r="AD139" s="33">
        <f>MAX(K139:S139)</f>
        <v>808.89</v>
      </c>
      <c r="AE139" s="33">
        <f>MIN(K139:S139)</f>
        <v>0</v>
      </c>
      <c r="AG139" s="33">
        <f>+W139-AC139</f>
        <v>1358.4550000000002</v>
      </c>
      <c r="AH139" s="33">
        <f>+W139-AD139</f>
        <v>954.0100000000001</v>
      </c>
      <c r="AI139" s="33">
        <f>+W139-AE139</f>
        <v>1762.9</v>
      </c>
      <c r="AK139" s="33">
        <f>+Y139-AC139</f>
        <v>445.55500000000001</v>
      </c>
      <c r="AL139" s="33">
        <f>+Y139-AD139</f>
        <v>41.110000000000014</v>
      </c>
      <c r="AM139" s="33">
        <f>+Y139-AE139</f>
        <v>850</v>
      </c>
    </row>
    <row r="140" spans="1:39" s="1" customFormat="1" ht="11.25" customHeight="1" x14ac:dyDescent="0.2">
      <c r="A140" s="26"/>
      <c r="B140" s="26"/>
      <c r="C140" s="26"/>
      <c r="D140" s="26"/>
      <c r="E140" s="26"/>
      <c r="F140" s="26" t="s">
        <v>151</v>
      </c>
      <c r="G140" s="26"/>
      <c r="H140" s="28"/>
      <c r="I140" s="28">
        <f>ROUND(SUM(I134:I139),5)</f>
        <v>270218</v>
      </c>
      <c r="J140" s="28"/>
      <c r="K140" s="28">
        <f>ROUND(SUM(K134:K139),5)</f>
        <v>283375</v>
      </c>
      <c r="L140" s="28"/>
      <c r="M140" s="28">
        <f>ROUND(SUM(M134:M139),5)</f>
        <v>291257</v>
      </c>
      <c r="N140" s="28"/>
      <c r="O140" s="28">
        <f>ROUND(SUM(O134:O139),5)</f>
        <v>319631.88</v>
      </c>
      <c r="P140" s="28"/>
      <c r="Q140" s="28">
        <f>ROUND(SUM(Q134:Q139),5)</f>
        <v>323685.83</v>
      </c>
      <c r="R140" s="28"/>
      <c r="S140" s="9">
        <f>ROUND(SUM(S134:S139),5)</f>
        <v>364601.62</v>
      </c>
      <c r="T140" s="9"/>
      <c r="U140" s="9"/>
      <c r="V140" s="9"/>
      <c r="W140" s="9">
        <f>ROUND(SUM(W134:W139),5)</f>
        <v>271144.59000000003</v>
      </c>
      <c r="X140" s="9"/>
      <c r="Y140" s="9">
        <f>ROUND(SUM(Y134:Y139),5)</f>
        <v>363905</v>
      </c>
      <c r="AA140" s="9">
        <f>ROUND(SUM(AA134:AA139),5)</f>
        <v>388894.20640000002</v>
      </c>
      <c r="AC140" s="28">
        <f t="shared" ref="AC140:AE140" si="64">ROUND(SUM(AC134:AC139),5)</f>
        <v>316752.93300000002</v>
      </c>
      <c r="AD140" s="28">
        <f t="shared" si="64"/>
        <v>369862.97</v>
      </c>
      <c r="AE140" s="28">
        <f t="shared" si="64"/>
        <v>276300.23</v>
      </c>
      <c r="AG140" s="28">
        <f t="shared" ref="AG140:AI140" si="65">ROUND(SUM(AG134:AG139),5)</f>
        <v>-45608.343000000001</v>
      </c>
      <c r="AH140" s="28">
        <f t="shared" si="65"/>
        <v>-98718.38</v>
      </c>
      <c r="AI140" s="28">
        <f t="shared" si="65"/>
        <v>-5155.6400000000003</v>
      </c>
      <c r="AK140" s="28">
        <f t="shared" ref="AK140:AM140" si="66">ROUND(SUM(AK134:AK139),5)</f>
        <v>47152.067000000003</v>
      </c>
      <c r="AL140" s="28">
        <f t="shared" si="66"/>
        <v>-5957.97</v>
      </c>
      <c r="AM140" s="28">
        <f t="shared" si="66"/>
        <v>87604.77</v>
      </c>
    </row>
    <row r="141" spans="1:39" s="1" customFormat="1" ht="11.25" customHeight="1" x14ac:dyDescent="0.2">
      <c r="A141" s="26"/>
      <c r="B141" s="26"/>
      <c r="C141" s="26"/>
      <c r="D141" s="26"/>
      <c r="E141" s="26"/>
      <c r="F141" s="26" t="s">
        <v>152</v>
      </c>
      <c r="G141" s="26"/>
      <c r="H141" s="28"/>
      <c r="I141" s="28"/>
      <c r="J141" s="28"/>
      <c r="K141" s="28"/>
      <c r="L141" s="28"/>
      <c r="M141" s="28"/>
      <c r="N141" s="28"/>
      <c r="O141" s="28"/>
      <c r="P141" s="28"/>
      <c r="Q141" s="28"/>
      <c r="R141" s="28"/>
      <c r="S141" s="9"/>
      <c r="T141" s="9"/>
      <c r="U141" s="9"/>
      <c r="V141" s="9"/>
      <c r="W141" s="9"/>
      <c r="X141" s="9"/>
      <c r="Y141" s="9"/>
      <c r="AA141" s="9"/>
      <c r="AC141" s="28"/>
      <c r="AD141" s="28"/>
      <c r="AE141" s="28"/>
      <c r="AG141" s="28"/>
      <c r="AH141" s="28"/>
      <c r="AI141" s="28"/>
      <c r="AK141" s="28"/>
      <c r="AL141" s="28"/>
      <c r="AM141" s="28"/>
    </row>
    <row r="142" spans="1:39" s="1" customFormat="1" ht="11.25" customHeight="1" x14ac:dyDescent="0.2">
      <c r="A142" s="26"/>
      <c r="B142" s="26"/>
      <c r="C142" s="26"/>
      <c r="D142" s="26"/>
      <c r="E142" s="26"/>
      <c r="F142" s="26"/>
      <c r="G142" s="26" t="s">
        <v>153</v>
      </c>
      <c r="H142" s="28"/>
      <c r="I142" s="28"/>
      <c r="J142" s="28"/>
      <c r="K142" s="28"/>
      <c r="L142" s="28"/>
      <c r="M142" s="28"/>
      <c r="N142" s="28"/>
      <c r="O142" s="28"/>
      <c r="P142" s="28"/>
      <c r="Q142" s="28">
        <v>11747.1</v>
      </c>
      <c r="R142" s="28"/>
      <c r="S142" s="9">
        <v>1195.3499999999999</v>
      </c>
      <c r="T142" s="9"/>
      <c r="U142" s="9"/>
      <c r="V142" s="9"/>
      <c r="W142" s="9">
        <v>0</v>
      </c>
      <c r="X142" s="9"/>
      <c r="Y142" s="9">
        <v>9600</v>
      </c>
      <c r="AA142" s="9">
        <f>1995+7500</f>
        <v>9495</v>
      </c>
      <c r="AC142" s="28">
        <f>AVERAGE(K142:S142)</f>
        <v>6471.2250000000004</v>
      </c>
      <c r="AD142" s="28">
        <f>MAX(K142:S142)</f>
        <v>11747.1</v>
      </c>
      <c r="AE142" s="28">
        <f>MIN(K142:S142)</f>
        <v>1195.3499999999999</v>
      </c>
      <c r="AG142" s="28">
        <f>+W142-AC142</f>
        <v>-6471.2250000000004</v>
      </c>
      <c r="AH142" s="28">
        <f>+W142-AD142</f>
        <v>-11747.1</v>
      </c>
      <c r="AI142" s="28">
        <f>+W142-AE142</f>
        <v>-1195.3499999999999</v>
      </c>
      <c r="AK142" s="28">
        <f>+Y142-AC142</f>
        <v>3128.7749999999996</v>
      </c>
      <c r="AL142" s="28">
        <f>+Y142-AD142</f>
        <v>-2147.1000000000004</v>
      </c>
      <c r="AM142" s="28">
        <f>+Y142-AE142</f>
        <v>8404.65</v>
      </c>
    </row>
    <row r="143" spans="1:39" s="16" customFormat="1" ht="11.25" customHeight="1" x14ac:dyDescent="0.2">
      <c r="A143" s="26"/>
      <c r="B143" s="26"/>
      <c r="C143" s="26"/>
      <c r="D143" s="26"/>
      <c r="E143" s="26"/>
      <c r="F143" s="26"/>
      <c r="G143" s="26" t="s">
        <v>154</v>
      </c>
      <c r="H143" s="31"/>
      <c r="I143" s="31" t="s">
        <v>155</v>
      </c>
      <c r="J143" s="31"/>
      <c r="K143" s="31"/>
      <c r="L143" s="31"/>
      <c r="M143" s="31" t="s">
        <v>155</v>
      </c>
      <c r="N143" s="31"/>
      <c r="O143" s="31" t="s">
        <v>155</v>
      </c>
      <c r="P143" s="31"/>
      <c r="Q143" s="28">
        <v>996.63</v>
      </c>
      <c r="R143" s="28"/>
      <c r="S143" s="11">
        <v>110.57</v>
      </c>
      <c r="T143" s="11"/>
      <c r="U143" s="11"/>
      <c r="V143" s="11"/>
      <c r="W143" s="11">
        <v>0</v>
      </c>
      <c r="X143" s="11"/>
      <c r="Y143" s="11">
        <v>735</v>
      </c>
      <c r="AA143" s="11">
        <f>+AA142*0.09</f>
        <v>854.55</v>
      </c>
      <c r="AC143" s="31">
        <f>AVERAGE(K143:S143)</f>
        <v>553.6</v>
      </c>
      <c r="AD143" s="31">
        <f>MAX(K143:S143)</f>
        <v>996.63</v>
      </c>
      <c r="AE143" s="31">
        <f>MIN(K143:S143)</f>
        <v>110.57</v>
      </c>
      <c r="AF143" s="1"/>
      <c r="AG143" s="31">
        <f>+W143-AC143</f>
        <v>-553.6</v>
      </c>
      <c r="AH143" s="31">
        <f>+W143-AD143</f>
        <v>-996.63</v>
      </c>
      <c r="AI143" s="31">
        <f>+W143-AE143</f>
        <v>-110.57</v>
      </c>
      <c r="AJ143" s="1"/>
      <c r="AK143" s="31">
        <f>+Y143-AC143</f>
        <v>181.39999999999998</v>
      </c>
      <c r="AL143" s="31">
        <f>+Y143-AD143</f>
        <v>-261.63</v>
      </c>
      <c r="AM143" s="31">
        <f>+Y143-AE143</f>
        <v>624.43000000000006</v>
      </c>
    </row>
    <row r="144" spans="1:39" s="1" customFormat="1" ht="12" customHeight="1" thickBot="1" x14ac:dyDescent="0.25">
      <c r="A144" s="26"/>
      <c r="B144" s="26"/>
      <c r="C144" s="26"/>
      <c r="D144" s="26"/>
      <c r="E144" s="26"/>
      <c r="F144" s="26"/>
      <c r="G144" s="26" t="s">
        <v>150</v>
      </c>
      <c r="H144" s="28"/>
      <c r="I144" s="33"/>
      <c r="J144" s="28"/>
      <c r="K144" s="33"/>
      <c r="L144" s="28"/>
      <c r="M144" s="33"/>
      <c r="N144" s="28"/>
      <c r="O144" s="33"/>
      <c r="P144" s="33"/>
      <c r="Q144" s="33">
        <v>0</v>
      </c>
      <c r="R144" s="33"/>
      <c r="S144" s="14">
        <v>9.9499999999999993</v>
      </c>
      <c r="T144" s="11"/>
      <c r="U144" s="11"/>
      <c r="V144" s="9"/>
      <c r="W144" s="14">
        <v>9</v>
      </c>
      <c r="X144" s="9"/>
      <c r="Y144" s="14">
        <v>28</v>
      </c>
      <c r="AA144" s="14">
        <f>+AA142*0.29/100</f>
        <v>27.535499999999999</v>
      </c>
      <c r="AC144" s="33">
        <f>AVERAGE(K144:S144)</f>
        <v>4.9749999999999996</v>
      </c>
      <c r="AD144" s="33">
        <f>MAX(K144:S144)</f>
        <v>9.9499999999999993</v>
      </c>
      <c r="AE144" s="33">
        <f>MIN(K144:S144)</f>
        <v>0</v>
      </c>
      <c r="AG144" s="33">
        <f>+W144-AC144</f>
        <v>4.0250000000000004</v>
      </c>
      <c r="AH144" s="33">
        <f>+W144-AD144</f>
        <v>-0.94999999999999929</v>
      </c>
      <c r="AI144" s="33">
        <f>+W144-AE144</f>
        <v>9</v>
      </c>
      <c r="AK144" s="33">
        <f>+Y144-AC144</f>
        <v>23.024999999999999</v>
      </c>
      <c r="AL144" s="33">
        <f>+Y144-AD144</f>
        <v>18.05</v>
      </c>
      <c r="AM144" s="33">
        <f>+Y144-AE144</f>
        <v>28</v>
      </c>
    </row>
    <row r="145" spans="1:39" s="1" customFormat="1" ht="11.25" customHeight="1" x14ac:dyDescent="0.2">
      <c r="A145" s="26"/>
      <c r="B145" s="26"/>
      <c r="C145" s="26"/>
      <c r="D145" s="26"/>
      <c r="E145" s="26"/>
      <c r="F145" s="26" t="s">
        <v>156</v>
      </c>
      <c r="G145" s="26"/>
      <c r="H145" s="28"/>
      <c r="I145" s="28">
        <f>ROUND(SUM(I141:I144),5)</f>
        <v>0</v>
      </c>
      <c r="J145" s="28"/>
      <c r="K145" s="28">
        <f>ROUND(SUM(K141:K144),5)</f>
        <v>0</v>
      </c>
      <c r="L145" s="28"/>
      <c r="M145" s="28">
        <f>ROUND(SUM(M141:M144),5)</f>
        <v>0</v>
      </c>
      <c r="N145" s="28"/>
      <c r="O145" s="28">
        <f>ROUND(SUM(O141:O144),5)</f>
        <v>0</v>
      </c>
      <c r="P145" s="28"/>
      <c r="Q145" s="28">
        <f>ROUND(SUM(Q141:Q144),5)</f>
        <v>12743.73</v>
      </c>
      <c r="R145" s="28"/>
      <c r="S145" s="9">
        <f>ROUND(SUM(S141:S144),5)</f>
        <v>1315.87</v>
      </c>
      <c r="T145" s="9"/>
      <c r="U145" s="9"/>
      <c r="V145" s="9"/>
      <c r="W145" s="9">
        <f>ROUND(SUM(W141:W144),5)</f>
        <v>9</v>
      </c>
      <c r="X145" s="9"/>
      <c r="Y145" s="9">
        <f>ROUND(SUM(Y141:Y144),5)</f>
        <v>10363</v>
      </c>
      <c r="AA145" s="9">
        <f>ROUND(SUM(AA141:AA144),5)</f>
        <v>10377.085499999999</v>
      </c>
      <c r="AC145" s="28">
        <f>ROUND(SUM(AC141:AC144),5)</f>
        <v>7029.8</v>
      </c>
      <c r="AD145" s="28">
        <f>ROUND(SUM(AD141:AD144),5)</f>
        <v>12753.68</v>
      </c>
      <c r="AE145" s="28">
        <f>ROUND(SUM(AE141:AE144),5)</f>
        <v>1305.92</v>
      </c>
      <c r="AG145" s="28">
        <f>ROUND(SUM(AG141:AG144),5)</f>
        <v>-7020.8</v>
      </c>
      <c r="AH145" s="28">
        <f>ROUND(SUM(AH141:AH144),5)</f>
        <v>-12744.68</v>
      </c>
      <c r="AI145" s="28">
        <f>ROUND(SUM(AI141:AI144),5)</f>
        <v>-1296.92</v>
      </c>
      <c r="AK145" s="28">
        <f>ROUND(SUM(AK141:AK144),5)</f>
        <v>3333.2</v>
      </c>
      <c r="AL145" s="28">
        <f>ROUND(SUM(AL141:AL144),5)</f>
        <v>-2390.6799999999998</v>
      </c>
      <c r="AM145" s="28">
        <f>ROUND(SUM(AM141:AM144),5)</f>
        <v>9057.08</v>
      </c>
    </row>
    <row r="146" spans="1:39" s="1" customFormat="1" ht="11.25" customHeight="1" x14ac:dyDescent="0.2">
      <c r="A146" s="26"/>
      <c r="B146" s="26"/>
      <c r="C146" s="26"/>
      <c r="D146" s="26"/>
      <c r="E146" s="26"/>
      <c r="F146" s="26" t="s">
        <v>157</v>
      </c>
      <c r="G146" s="26"/>
      <c r="H146" s="28"/>
      <c r="I146" s="28"/>
      <c r="J146" s="28"/>
      <c r="K146" s="28"/>
      <c r="L146" s="28"/>
      <c r="M146" s="28"/>
      <c r="N146" s="28"/>
      <c r="O146" s="28"/>
      <c r="P146" s="28"/>
      <c r="Q146" s="28"/>
      <c r="R146" s="28"/>
      <c r="S146" s="9"/>
      <c r="T146" s="9"/>
      <c r="U146" s="9"/>
      <c r="V146" s="9"/>
      <c r="W146" s="9"/>
      <c r="X146" s="9"/>
      <c r="Y146" s="9"/>
      <c r="AA146" s="9"/>
      <c r="AC146" s="28"/>
      <c r="AD146" s="28"/>
      <c r="AE146" s="28"/>
      <c r="AG146" s="28"/>
      <c r="AH146" s="28"/>
      <c r="AI146" s="28"/>
      <c r="AK146" s="28"/>
      <c r="AL146" s="28"/>
      <c r="AM146" s="28"/>
    </row>
    <row r="147" spans="1:39" s="1" customFormat="1" ht="11.25" customHeight="1" x14ac:dyDescent="0.2">
      <c r="A147" s="26"/>
      <c r="B147" s="26"/>
      <c r="C147" s="26"/>
      <c r="D147" s="26"/>
      <c r="E147" s="26"/>
      <c r="F147" s="26"/>
      <c r="G147" s="26" t="s">
        <v>158</v>
      </c>
      <c r="H147" s="28"/>
      <c r="I147" s="28">
        <f>6576+6455+54</f>
        <v>13085</v>
      </c>
      <c r="J147" s="28"/>
      <c r="K147" s="28">
        <f>9273+9659</f>
        <v>18932</v>
      </c>
      <c r="L147" s="28"/>
      <c r="M147" s="28">
        <f>10298+11258</f>
        <v>21556</v>
      </c>
      <c r="N147" s="28"/>
      <c r="O147" s="28">
        <f>10740.23+12246.53</f>
        <v>22986.760000000002</v>
      </c>
      <c r="P147" s="28"/>
      <c r="Q147" s="28">
        <v>16425</v>
      </c>
      <c r="R147" s="28"/>
      <c r="S147" s="9">
        <v>16956.72</v>
      </c>
      <c r="T147" s="9"/>
      <c r="U147" s="9"/>
      <c r="V147" s="9"/>
      <c r="W147" s="8">
        <v>14032.02</v>
      </c>
      <c r="X147" s="9"/>
      <c r="Y147" s="9">
        <v>16500</v>
      </c>
      <c r="AA147" s="9">
        <f>16500+1200</f>
        <v>17700</v>
      </c>
      <c r="AC147" s="28">
        <f>AVERAGE(K147:S147)</f>
        <v>19371.296000000002</v>
      </c>
      <c r="AD147" s="28">
        <f>MAX(K147:S147)</f>
        <v>22986.760000000002</v>
      </c>
      <c r="AE147" s="28">
        <f>MIN(K147:S147)</f>
        <v>16425</v>
      </c>
      <c r="AG147" s="28">
        <f>+W147-AC147</f>
        <v>-5339.2760000000017</v>
      </c>
      <c r="AH147" s="28">
        <f>+W147-AD147</f>
        <v>-8954.7400000000016</v>
      </c>
      <c r="AI147" s="28">
        <f>+W147-AE147</f>
        <v>-2392.9799999999996</v>
      </c>
      <c r="AK147" s="28">
        <f>+Y147-AC147</f>
        <v>-2871.2960000000021</v>
      </c>
      <c r="AL147" s="28">
        <f>+Y147-AD147</f>
        <v>-6486.760000000002</v>
      </c>
      <c r="AM147" s="28">
        <f>+Y147-AE147</f>
        <v>75</v>
      </c>
    </row>
    <row r="148" spans="1:39" s="1" customFormat="1" ht="11.25" customHeight="1" x14ac:dyDescent="0.2">
      <c r="A148" s="26"/>
      <c r="B148" s="26"/>
      <c r="C148" s="26"/>
      <c r="D148" s="26"/>
      <c r="E148" s="26"/>
      <c r="F148" s="26"/>
      <c r="G148" s="26" t="s">
        <v>159</v>
      </c>
      <c r="H148" s="28"/>
      <c r="I148" s="28"/>
      <c r="J148" s="28"/>
      <c r="K148" s="28"/>
      <c r="L148" s="28"/>
      <c r="M148" s="28"/>
      <c r="N148" s="28"/>
      <c r="O148" s="28"/>
      <c r="P148" s="28"/>
      <c r="Q148" s="28">
        <v>2957.73</v>
      </c>
      <c r="R148" s="28"/>
      <c r="S148" s="9">
        <v>2400</v>
      </c>
      <c r="T148" s="9"/>
      <c r="U148" s="9"/>
      <c r="V148" s="9"/>
      <c r="W148" s="8">
        <v>2250</v>
      </c>
      <c r="X148" s="9"/>
      <c r="Y148" s="9">
        <v>2600</v>
      </c>
      <c r="AA148" s="9">
        <v>2600</v>
      </c>
      <c r="AC148" s="28">
        <f>AVERAGE(K148:S148)</f>
        <v>2678.8649999999998</v>
      </c>
      <c r="AD148" s="28">
        <f>MAX(K148:S148)</f>
        <v>2957.73</v>
      </c>
      <c r="AE148" s="28">
        <f>MIN(K148:S148)</f>
        <v>2400</v>
      </c>
      <c r="AG148" s="28">
        <f>+W148-AC148</f>
        <v>-428.86499999999978</v>
      </c>
      <c r="AH148" s="28">
        <f>+W148-AD148</f>
        <v>-707.73</v>
      </c>
      <c r="AI148" s="28">
        <f>+W148-AE148</f>
        <v>-150</v>
      </c>
      <c r="AK148" s="28">
        <f>+Y148-AC148</f>
        <v>-78.864999999999782</v>
      </c>
      <c r="AL148" s="28">
        <f>+Y148-AD148</f>
        <v>-357.73</v>
      </c>
      <c r="AM148" s="28">
        <f>+Y148-AE148</f>
        <v>200</v>
      </c>
    </row>
    <row r="149" spans="1:39" s="1" customFormat="1" ht="11.25" customHeight="1" x14ac:dyDescent="0.2">
      <c r="A149" s="26"/>
      <c r="B149" s="26"/>
      <c r="C149" s="26"/>
      <c r="D149" s="26"/>
      <c r="E149" s="26"/>
      <c r="F149" s="26"/>
      <c r="G149" s="26" t="s">
        <v>160</v>
      </c>
      <c r="H149" s="28"/>
      <c r="I149" s="28"/>
      <c r="J149" s="28"/>
      <c r="K149" s="28"/>
      <c r="L149" s="28"/>
      <c r="M149" s="28"/>
      <c r="N149" s="28"/>
      <c r="O149" s="28"/>
      <c r="P149" s="28"/>
      <c r="Q149" s="28">
        <v>200</v>
      </c>
      <c r="R149" s="28"/>
      <c r="S149" s="9">
        <v>205.5</v>
      </c>
      <c r="T149" s="9"/>
      <c r="U149" s="9"/>
      <c r="V149" s="9"/>
      <c r="W149" s="8">
        <v>211.5</v>
      </c>
      <c r="X149" s="9"/>
      <c r="Y149" s="9">
        <v>500</v>
      </c>
      <c r="AA149" s="9">
        <v>500</v>
      </c>
      <c r="AC149" s="28">
        <f>AVERAGE(K149:S149)</f>
        <v>202.75</v>
      </c>
      <c r="AD149" s="28">
        <f>MAX(K149:S149)</f>
        <v>205.5</v>
      </c>
      <c r="AE149" s="28">
        <f>MIN(K149:S149)</f>
        <v>200</v>
      </c>
      <c r="AG149" s="28">
        <f>+W149-AC149</f>
        <v>8.75</v>
      </c>
      <c r="AH149" s="28">
        <f>+W149-AD149</f>
        <v>6</v>
      </c>
      <c r="AI149" s="28">
        <f>+W149-AE149</f>
        <v>11.5</v>
      </c>
      <c r="AK149" s="28">
        <f>+Y149-AC149</f>
        <v>297.25</v>
      </c>
      <c r="AL149" s="28">
        <f>+Y149-AD149</f>
        <v>294.5</v>
      </c>
      <c r="AM149" s="28">
        <f>+Y149-AE149</f>
        <v>300</v>
      </c>
    </row>
    <row r="150" spans="1:39" s="1" customFormat="1" ht="12" customHeight="1" thickBot="1" x14ac:dyDescent="0.25">
      <c r="A150" s="26"/>
      <c r="B150" s="26"/>
      <c r="C150" s="26"/>
      <c r="D150" s="26"/>
      <c r="E150" s="26"/>
      <c r="F150" s="26"/>
      <c r="G150" s="26" t="s">
        <v>161</v>
      </c>
      <c r="H150" s="28"/>
      <c r="I150" s="33">
        <v>9104</v>
      </c>
      <c r="J150" s="28"/>
      <c r="K150" s="33">
        <v>8898</v>
      </c>
      <c r="L150" s="28"/>
      <c r="M150" s="33">
        <v>9700</v>
      </c>
      <c r="N150" s="28"/>
      <c r="O150" s="33">
        <v>8000.31</v>
      </c>
      <c r="P150" s="33"/>
      <c r="Q150" s="33">
        <v>3486.63</v>
      </c>
      <c r="R150" s="33"/>
      <c r="S150" s="14">
        <v>5250.66</v>
      </c>
      <c r="T150" s="11"/>
      <c r="U150" s="11"/>
      <c r="V150" s="9"/>
      <c r="W150" s="13">
        <v>680.31</v>
      </c>
      <c r="X150" s="9"/>
      <c r="Y150" s="14">
        <v>6000</v>
      </c>
      <c r="AA150" s="14">
        <v>5000</v>
      </c>
      <c r="AC150" s="33">
        <f>AVERAGE(K150:S150)</f>
        <v>7067.1200000000008</v>
      </c>
      <c r="AD150" s="33">
        <f>MAX(K150:S150)</f>
        <v>9700</v>
      </c>
      <c r="AE150" s="33">
        <f>MIN(K150:S150)</f>
        <v>3486.63</v>
      </c>
      <c r="AG150" s="33">
        <f>+W150-AC150</f>
        <v>-6386.8100000000013</v>
      </c>
      <c r="AH150" s="33">
        <f>+W150-AD150</f>
        <v>-9019.69</v>
      </c>
      <c r="AI150" s="33">
        <f>+W150-AE150</f>
        <v>-2806.32</v>
      </c>
      <c r="AK150" s="33">
        <f>+Y150-AC150</f>
        <v>-1067.1200000000008</v>
      </c>
      <c r="AL150" s="33">
        <f>+Y150-AD150</f>
        <v>-3700</v>
      </c>
      <c r="AM150" s="33">
        <f>+Y150-AE150</f>
        <v>2513.37</v>
      </c>
    </row>
    <row r="151" spans="1:39" s="1" customFormat="1" ht="11.25" customHeight="1" x14ac:dyDescent="0.2">
      <c r="A151" s="26"/>
      <c r="B151" s="26"/>
      <c r="C151" s="26"/>
      <c r="D151" s="26"/>
      <c r="E151" s="26"/>
      <c r="F151" s="26" t="s">
        <v>162</v>
      </c>
      <c r="G151" s="26"/>
      <c r="H151" s="28"/>
      <c r="I151" s="28">
        <f>ROUND(SUM(I146:I150),5)</f>
        <v>22189</v>
      </c>
      <c r="J151" s="28"/>
      <c r="K151" s="28">
        <f>ROUND(SUM(K146:K150),5)</f>
        <v>27830</v>
      </c>
      <c r="L151" s="28"/>
      <c r="M151" s="28">
        <f>ROUND(SUM(M146:M150),5)</f>
        <v>31256</v>
      </c>
      <c r="N151" s="28"/>
      <c r="O151" s="28">
        <f>ROUND(SUM(O146:O150),5)</f>
        <v>30987.07</v>
      </c>
      <c r="P151" s="28"/>
      <c r="Q151" s="28">
        <f>ROUND(SUM(Q146:Q150),5)</f>
        <v>23069.360000000001</v>
      </c>
      <c r="R151" s="28"/>
      <c r="S151" s="9">
        <f>ROUND(SUM(S146:S150),5)</f>
        <v>24812.880000000001</v>
      </c>
      <c r="T151" s="9"/>
      <c r="U151" s="9"/>
      <c r="V151" s="9"/>
      <c r="W151" s="9">
        <f>ROUND(SUM(W146:W150),5)</f>
        <v>17173.830000000002</v>
      </c>
      <c r="X151" s="9"/>
      <c r="Y151" s="9">
        <f>ROUND(SUM(Y146:Y150),5)</f>
        <v>25600</v>
      </c>
      <c r="AA151" s="9">
        <f>ROUND(SUM(AA146:AA150),5)</f>
        <v>25800</v>
      </c>
      <c r="AC151" s="28">
        <f t="shared" ref="AC151:AE151" si="67">ROUND(SUM(AC146:AC150),5)</f>
        <v>29320.030999999999</v>
      </c>
      <c r="AD151" s="28">
        <f t="shared" si="67"/>
        <v>35849.99</v>
      </c>
      <c r="AE151" s="28">
        <f t="shared" si="67"/>
        <v>22511.63</v>
      </c>
      <c r="AG151" s="28">
        <f t="shared" ref="AG151:AI151" si="68">ROUND(SUM(AG146:AG150),5)</f>
        <v>-12146.200999999999</v>
      </c>
      <c r="AH151" s="28">
        <f t="shared" si="68"/>
        <v>-18676.16</v>
      </c>
      <c r="AI151" s="28">
        <f t="shared" si="68"/>
        <v>-5337.8</v>
      </c>
      <c r="AK151" s="28">
        <f t="shared" ref="AK151:AM151" si="69">ROUND(SUM(AK146:AK150),5)</f>
        <v>-3720.0309999999999</v>
      </c>
      <c r="AL151" s="28">
        <f t="shared" si="69"/>
        <v>-10249.99</v>
      </c>
      <c r="AM151" s="28">
        <f t="shared" si="69"/>
        <v>3088.37</v>
      </c>
    </row>
    <row r="152" spans="1:39" s="1" customFormat="1" ht="11.25" customHeight="1" x14ac:dyDescent="0.2">
      <c r="A152" s="26"/>
      <c r="B152" s="26"/>
      <c r="C152" s="26"/>
      <c r="D152" s="26"/>
      <c r="E152" s="26"/>
      <c r="F152" s="26" t="s">
        <v>163</v>
      </c>
      <c r="G152" s="26"/>
      <c r="H152" s="28"/>
      <c r="I152" s="28"/>
      <c r="J152" s="28"/>
      <c r="K152" s="28"/>
      <c r="L152" s="28"/>
      <c r="M152" s="28"/>
      <c r="N152" s="28"/>
      <c r="O152" s="28"/>
      <c r="P152" s="28"/>
      <c r="Q152" s="28"/>
      <c r="R152" s="28"/>
      <c r="S152" s="9"/>
      <c r="T152" s="9"/>
      <c r="U152" s="9"/>
      <c r="V152" s="9"/>
      <c r="W152" s="9"/>
      <c r="X152" s="9"/>
      <c r="Y152" s="9"/>
      <c r="AA152" s="9"/>
      <c r="AC152" s="28"/>
      <c r="AD152" s="28"/>
      <c r="AE152" s="28"/>
      <c r="AG152" s="28"/>
      <c r="AH152" s="28"/>
      <c r="AI152" s="28"/>
      <c r="AK152" s="28"/>
      <c r="AL152" s="28"/>
      <c r="AM152" s="28"/>
    </row>
    <row r="153" spans="1:39" s="1" customFormat="1" ht="12" customHeight="1" thickBot="1" x14ac:dyDescent="0.25">
      <c r="A153" s="26"/>
      <c r="B153" s="26"/>
      <c r="C153" s="26"/>
      <c r="D153" s="26"/>
      <c r="E153" s="26"/>
      <c r="F153" s="26"/>
      <c r="G153" s="26" t="s">
        <v>164</v>
      </c>
      <c r="H153" s="28"/>
      <c r="I153" s="33"/>
      <c r="J153" s="28"/>
      <c r="K153" s="33">
        <v>315</v>
      </c>
      <c r="L153" s="28"/>
      <c r="M153" s="33">
        <v>290</v>
      </c>
      <c r="N153" s="28"/>
      <c r="O153" s="33">
        <v>148.4</v>
      </c>
      <c r="P153" s="33"/>
      <c r="Q153" s="33">
        <v>819.44</v>
      </c>
      <c r="R153" s="33"/>
      <c r="S153" s="14">
        <v>959.26</v>
      </c>
      <c r="T153" s="11"/>
      <c r="U153" s="11"/>
      <c r="V153" s="9"/>
      <c r="W153" s="14">
        <v>400</v>
      </c>
      <c r="X153" s="9"/>
      <c r="Y153" s="14">
        <v>900</v>
      </c>
      <c r="AA153" s="14">
        <v>5500</v>
      </c>
      <c r="AC153" s="33">
        <f>AVERAGE(K153:S153)</f>
        <v>506.42000000000007</v>
      </c>
      <c r="AD153" s="33">
        <f>MAX(H153:O153)</f>
        <v>315</v>
      </c>
      <c r="AE153" s="33">
        <f>MIN(H153:O153)</f>
        <v>148.4</v>
      </c>
      <c r="AG153" s="33">
        <f>+W153-AC153</f>
        <v>-106.42000000000007</v>
      </c>
      <c r="AH153" s="33">
        <f>+W153-AD153</f>
        <v>85</v>
      </c>
      <c r="AI153" s="33">
        <f>+W153-AE153</f>
        <v>251.6</v>
      </c>
      <c r="AK153" s="33">
        <f>+Y153-AC153</f>
        <v>393.57999999999993</v>
      </c>
      <c r="AL153" s="33">
        <f>+Y153-AD153</f>
        <v>585</v>
      </c>
      <c r="AM153" s="33">
        <f>+Y153-AE153</f>
        <v>751.6</v>
      </c>
    </row>
    <row r="154" spans="1:39" s="1" customFormat="1" ht="11.25" customHeight="1" x14ac:dyDescent="0.2">
      <c r="A154" s="26"/>
      <c r="B154" s="26"/>
      <c r="C154" s="26"/>
      <c r="D154" s="26"/>
      <c r="E154" s="26"/>
      <c r="F154" s="26" t="s">
        <v>165</v>
      </c>
      <c r="G154" s="26"/>
      <c r="H154" s="28"/>
      <c r="I154" s="28">
        <f>ROUND(SUM(I152:I153),5)</f>
        <v>0</v>
      </c>
      <c r="J154" s="28"/>
      <c r="K154" s="28">
        <f>ROUND(SUM(K152:K153),5)</f>
        <v>315</v>
      </c>
      <c r="L154" s="28"/>
      <c r="M154" s="28">
        <f>ROUND(SUM(M152:M153),5)</f>
        <v>290</v>
      </c>
      <c r="N154" s="28"/>
      <c r="O154" s="28">
        <f>ROUND(SUM(O152:O153),5)</f>
        <v>148.4</v>
      </c>
      <c r="P154" s="28"/>
      <c r="Q154" s="28">
        <f>ROUND(SUM(Q152:Q153),5)</f>
        <v>819.44</v>
      </c>
      <c r="R154" s="28"/>
      <c r="S154" s="9">
        <f>ROUND(SUM(S152:S153),5)</f>
        <v>959.26</v>
      </c>
      <c r="T154" s="9"/>
      <c r="U154" s="9"/>
      <c r="V154" s="9"/>
      <c r="W154" s="9">
        <f>ROUND(SUM(W152:W153),5)</f>
        <v>400</v>
      </c>
      <c r="X154" s="9"/>
      <c r="Y154" s="9">
        <f>ROUND(SUM(Y152:Y153),5)</f>
        <v>900</v>
      </c>
      <c r="AA154" s="9">
        <f>ROUND(SUM(AA152:AA153),5)</f>
        <v>5500</v>
      </c>
      <c r="AC154" s="28">
        <f t="shared" ref="AC154:AE154" si="70">ROUND(SUM(AC152:AC153),5)</f>
        <v>506.42</v>
      </c>
      <c r="AD154" s="28">
        <f t="shared" si="70"/>
        <v>315</v>
      </c>
      <c r="AE154" s="28">
        <f t="shared" si="70"/>
        <v>148.4</v>
      </c>
      <c r="AG154" s="28">
        <f t="shared" ref="AG154:AI154" si="71">ROUND(SUM(AG152:AG153),5)</f>
        <v>-106.42</v>
      </c>
      <c r="AH154" s="28">
        <f t="shared" si="71"/>
        <v>85</v>
      </c>
      <c r="AI154" s="28">
        <f t="shared" si="71"/>
        <v>251.6</v>
      </c>
      <c r="AK154" s="28">
        <f t="shared" ref="AK154:AM154" si="72">ROUND(SUM(AK152:AK153),5)</f>
        <v>393.58</v>
      </c>
      <c r="AL154" s="28">
        <f t="shared" si="72"/>
        <v>585</v>
      </c>
      <c r="AM154" s="28">
        <f t="shared" si="72"/>
        <v>751.6</v>
      </c>
    </row>
    <row r="155" spans="1:39" s="1" customFormat="1" ht="11.25" customHeight="1" x14ac:dyDescent="0.2">
      <c r="A155" s="26"/>
      <c r="B155" s="26"/>
      <c r="C155" s="26"/>
      <c r="D155" s="26"/>
      <c r="E155" s="26"/>
      <c r="F155" s="26" t="s">
        <v>166</v>
      </c>
      <c r="G155" s="26"/>
      <c r="H155" s="28"/>
      <c r="I155" s="28"/>
      <c r="J155" s="28"/>
      <c r="K155" s="28"/>
      <c r="L155" s="28"/>
      <c r="M155" s="28"/>
      <c r="N155" s="28"/>
      <c r="O155" s="28"/>
      <c r="P155" s="28"/>
      <c r="Q155" s="28"/>
      <c r="R155" s="28"/>
      <c r="S155" s="9"/>
      <c r="T155" s="9"/>
      <c r="U155" s="9"/>
      <c r="V155" s="9"/>
      <c r="W155" s="9"/>
      <c r="X155" s="9"/>
      <c r="Y155" s="9"/>
      <c r="AA155" s="9"/>
      <c r="AC155" s="28"/>
      <c r="AD155" s="28"/>
      <c r="AE155" s="28"/>
      <c r="AG155" s="28"/>
      <c r="AH155" s="28"/>
      <c r="AI155" s="28"/>
      <c r="AK155" s="28"/>
      <c r="AL155" s="28"/>
      <c r="AM155" s="28"/>
    </row>
    <row r="156" spans="1:39" s="1" customFormat="1" ht="11.25" customHeight="1" x14ac:dyDescent="0.2">
      <c r="A156" s="26"/>
      <c r="B156" s="26"/>
      <c r="C156" s="26"/>
      <c r="D156" s="26"/>
      <c r="E156" s="26"/>
      <c r="F156" s="26"/>
      <c r="G156" s="26" t="s">
        <v>167</v>
      </c>
      <c r="H156" s="28"/>
      <c r="I156" s="28">
        <v>4562</v>
      </c>
      <c r="J156" s="28"/>
      <c r="K156" s="28">
        <v>6850</v>
      </c>
      <c r="L156" s="28"/>
      <c r="M156" s="28">
        <v>10745</v>
      </c>
      <c r="N156" s="28"/>
      <c r="O156" s="28">
        <v>11411.43</v>
      </c>
      <c r="P156" s="28"/>
      <c r="Q156" s="28">
        <v>5508.94</v>
      </c>
      <c r="R156" s="28"/>
      <c r="S156" s="9">
        <v>5334.6</v>
      </c>
      <c r="T156" s="9"/>
      <c r="U156" s="9"/>
      <c r="V156" s="9"/>
      <c r="W156" s="8">
        <v>4213.67</v>
      </c>
      <c r="X156" s="9"/>
      <c r="Y156" s="9">
        <v>7500</v>
      </c>
      <c r="AA156" s="9">
        <v>30000</v>
      </c>
      <c r="AC156" s="28">
        <f t="shared" ref="AC156:AC163" si="73">AVERAGE(K156:S156)</f>
        <v>7969.9940000000006</v>
      </c>
      <c r="AD156" s="28">
        <f t="shared" ref="AD156:AD163" si="74">MAX(K156:S156)</f>
        <v>11411.43</v>
      </c>
      <c r="AE156" s="28">
        <f t="shared" ref="AE156:AE163" si="75">MIN(K156:S156)</f>
        <v>5334.6</v>
      </c>
      <c r="AG156" s="28">
        <f t="shared" ref="AG156:AG163" si="76">+W156-AC156</f>
        <v>-3756.3240000000005</v>
      </c>
      <c r="AH156" s="28">
        <f t="shared" ref="AH156:AH163" si="77">+W156-AD156</f>
        <v>-7197.76</v>
      </c>
      <c r="AI156" s="28">
        <f t="shared" ref="AI156:AI163" si="78">+W156-AE156</f>
        <v>-1120.9300000000003</v>
      </c>
      <c r="AK156" s="28">
        <f t="shared" ref="AK156:AK163" si="79">+Y156-AC156</f>
        <v>-469.9940000000006</v>
      </c>
      <c r="AL156" s="28">
        <f t="shared" ref="AL156:AL163" si="80">+Y156-AD156</f>
        <v>-3911.4300000000003</v>
      </c>
      <c r="AM156" s="28">
        <f t="shared" ref="AM156:AM163" si="81">+Y156-AE156</f>
        <v>2165.3999999999996</v>
      </c>
    </row>
    <row r="157" spans="1:39" s="1" customFormat="1" ht="11.25" customHeight="1" x14ac:dyDescent="0.2">
      <c r="A157" s="26"/>
      <c r="B157" s="26"/>
      <c r="C157" s="26"/>
      <c r="D157" s="26"/>
      <c r="E157" s="26"/>
      <c r="F157" s="26"/>
      <c r="G157" s="26" t="s">
        <v>168</v>
      </c>
      <c r="H157" s="28"/>
      <c r="I157" s="28">
        <v>44786</v>
      </c>
      <c r="J157" s="28"/>
      <c r="K157" s="28">
        <v>56235</v>
      </c>
      <c r="L157" s="28"/>
      <c r="M157" s="28">
        <v>81329</v>
      </c>
      <c r="N157" s="28"/>
      <c r="O157" s="28">
        <v>117408.85</v>
      </c>
      <c r="P157" s="28"/>
      <c r="Q157" s="28">
        <v>190511.95</v>
      </c>
      <c r="R157" s="28"/>
      <c r="S157" s="9">
        <v>86882.05</v>
      </c>
      <c r="T157" s="9"/>
      <c r="U157" s="9"/>
      <c r="V157" s="9"/>
      <c r="W157" s="8">
        <v>107704.59</v>
      </c>
      <c r="X157" s="9"/>
      <c r="Y157" s="9">
        <v>67838</v>
      </c>
      <c r="AA157" s="9">
        <v>65000</v>
      </c>
      <c r="AC157" s="28">
        <f t="shared" si="73"/>
        <v>106473.37000000002</v>
      </c>
      <c r="AD157" s="28">
        <f t="shared" si="74"/>
        <v>190511.95</v>
      </c>
      <c r="AE157" s="28">
        <f t="shared" si="75"/>
        <v>56235</v>
      </c>
      <c r="AG157" s="28">
        <f t="shared" si="76"/>
        <v>1231.2199999999721</v>
      </c>
      <c r="AH157" s="28">
        <f t="shared" si="77"/>
        <v>-82807.360000000015</v>
      </c>
      <c r="AI157" s="28">
        <f t="shared" si="78"/>
        <v>51469.59</v>
      </c>
      <c r="AK157" s="28">
        <f t="shared" si="79"/>
        <v>-38635.370000000024</v>
      </c>
      <c r="AL157" s="28">
        <f t="shared" si="80"/>
        <v>-122673.95000000001</v>
      </c>
      <c r="AM157" s="28">
        <f t="shared" si="81"/>
        <v>11603</v>
      </c>
    </row>
    <row r="158" spans="1:39" s="1" customFormat="1" ht="11.25" customHeight="1" x14ac:dyDescent="0.2">
      <c r="A158" s="26"/>
      <c r="B158" s="26"/>
      <c r="C158" s="26"/>
      <c r="D158" s="26"/>
      <c r="E158" s="26"/>
      <c r="F158" s="26"/>
      <c r="G158" s="26" t="s">
        <v>169</v>
      </c>
      <c r="H158" s="28"/>
      <c r="I158" s="28">
        <v>88135</v>
      </c>
      <c r="J158" s="28"/>
      <c r="K158" s="28">
        <v>79165</v>
      </c>
      <c r="L158" s="28"/>
      <c r="M158" s="28">
        <v>77839</v>
      </c>
      <c r="N158" s="28"/>
      <c r="O158" s="28">
        <v>76800.210000000006</v>
      </c>
      <c r="P158" s="28"/>
      <c r="Q158" s="28">
        <v>81305.5</v>
      </c>
      <c r="R158" s="28"/>
      <c r="S158" s="9">
        <v>65918.240000000005</v>
      </c>
      <c r="T158" s="9"/>
      <c r="U158" s="9"/>
      <c r="V158" s="9"/>
      <c r="W158" s="8">
        <v>51023.28</v>
      </c>
      <c r="X158" s="9"/>
      <c r="Y158" s="9">
        <v>73977</v>
      </c>
      <c r="AA158" s="9">
        <v>71000</v>
      </c>
      <c r="AC158" s="28">
        <f t="shared" si="73"/>
        <v>76205.59</v>
      </c>
      <c r="AD158" s="28">
        <f t="shared" si="74"/>
        <v>81305.5</v>
      </c>
      <c r="AE158" s="28">
        <f t="shared" si="75"/>
        <v>65918.240000000005</v>
      </c>
      <c r="AG158" s="28">
        <f t="shared" si="76"/>
        <v>-25182.309999999998</v>
      </c>
      <c r="AH158" s="28">
        <f t="shared" si="77"/>
        <v>-30282.22</v>
      </c>
      <c r="AI158" s="28">
        <f t="shared" si="78"/>
        <v>-14894.960000000006</v>
      </c>
      <c r="AK158" s="28">
        <f t="shared" si="79"/>
        <v>-2228.5899999999965</v>
      </c>
      <c r="AL158" s="28">
        <f t="shared" si="80"/>
        <v>-7328.5</v>
      </c>
      <c r="AM158" s="28">
        <f t="shared" si="81"/>
        <v>8058.7599999999948</v>
      </c>
    </row>
    <row r="159" spans="1:39" s="1" customFormat="1" ht="11.25" customHeight="1" x14ac:dyDescent="0.2">
      <c r="A159" s="26"/>
      <c r="B159" s="26"/>
      <c r="C159" s="26"/>
      <c r="D159" s="26"/>
      <c r="E159" s="26"/>
      <c r="F159" s="26"/>
      <c r="G159" s="26" t="s">
        <v>170</v>
      </c>
      <c r="H159" s="28"/>
      <c r="I159" s="28"/>
      <c r="J159" s="28"/>
      <c r="K159" s="28"/>
      <c r="L159" s="28"/>
      <c r="M159" s="28"/>
      <c r="N159" s="28"/>
      <c r="O159" s="28">
        <v>85</v>
      </c>
      <c r="P159" s="28"/>
      <c r="Q159" s="28">
        <v>2850</v>
      </c>
      <c r="R159" s="28"/>
      <c r="S159" s="9">
        <v>2784.59</v>
      </c>
      <c r="T159" s="9"/>
      <c r="U159" s="9"/>
      <c r="V159" s="9"/>
      <c r="W159" s="8">
        <v>190.15</v>
      </c>
      <c r="X159" s="9"/>
      <c r="Y159" s="9">
        <v>3000</v>
      </c>
      <c r="AA159" s="9">
        <v>2500</v>
      </c>
      <c r="AC159" s="28">
        <f t="shared" si="73"/>
        <v>1906.53</v>
      </c>
      <c r="AD159" s="28">
        <f t="shared" si="74"/>
        <v>2850</v>
      </c>
      <c r="AE159" s="28">
        <f t="shared" si="75"/>
        <v>85</v>
      </c>
      <c r="AG159" s="28">
        <f t="shared" si="76"/>
        <v>-1716.3799999999999</v>
      </c>
      <c r="AH159" s="28">
        <f t="shared" si="77"/>
        <v>-2659.85</v>
      </c>
      <c r="AI159" s="28">
        <f t="shared" si="78"/>
        <v>105.15</v>
      </c>
      <c r="AK159" s="28">
        <f t="shared" si="79"/>
        <v>1093.47</v>
      </c>
      <c r="AL159" s="28">
        <f t="shared" si="80"/>
        <v>150</v>
      </c>
      <c r="AM159" s="28">
        <f t="shared" si="81"/>
        <v>2915</v>
      </c>
    </row>
    <row r="160" spans="1:39" s="1" customFormat="1" ht="11.25" customHeight="1" x14ac:dyDescent="0.2">
      <c r="A160" s="26"/>
      <c r="B160" s="26"/>
      <c r="C160" s="26"/>
      <c r="D160" s="26"/>
      <c r="E160" s="26"/>
      <c r="F160" s="26"/>
      <c r="G160" s="26" t="s">
        <v>171</v>
      </c>
      <c r="H160" s="28"/>
      <c r="I160" s="28"/>
      <c r="J160" s="28"/>
      <c r="K160" s="28"/>
      <c r="L160" s="28"/>
      <c r="M160" s="28"/>
      <c r="N160" s="28"/>
      <c r="O160" s="28"/>
      <c r="P160" s="28"/>
      <c r="Q160" s="28">
        <v>5024.32</v>
      </c>
      <c r="R160" s="28"/>
      <c r="S160" s="9">
        <v>4655.99</v>
      </c>
      <c r="T160" s="9"/>
      <c r="U160" s="9"/>
      <c r="V160" s="9"/>
      <c r="W160" s="8">
        <v>1090</v>
      </c>
      <c r="X160" s="9"/>
      <c r="Y160" s="9">
        <v>5000</v>
      </c>
      <c r="AA160" s="9">
        <v>2500</v>
      </c>
      <c r="AC160" s="28">
        <f t="shared" si="73"/>
        <v>4840.1549999999997</v>
      </c>
      <c r="AD160" s="28">
        <f t="shared" si="74"/>
        <v>5024.32</v>
      </c>
      <c r="AE160" s="28">
        <f t="shared" si="75"/>
        <v>4655.99</v>
      </c>
      <c r="AG160" s="28">
        <f t="shared" si="76"/>
        <v>-3750.1549999999997</v>
      </c>
      <c r="AH160" s="28">
        <f t="shared" si="77"/>
        <v>-3934.3199999999997</v>
      </c>
      <c r="AI160" s="28">
        <f t="shared" si="78"/>
        <v>-3565.99</v>
      </c>
      <c r="AK160" s="28">
        <f t="shared" si="79"/>
        <v>159.84500000000025</v>
      </c>
      <c r="AL160" s="28">
        <f t="shared" si="80"/>
        <v>-24.319999999999709</v>
      </c>
      <c r="AM160" s="28">
        <f t="shared" si="81"/>
        <v>344.01000000000022</v>
      </c>
    </row>
    <row r="161" spans="1:40" s="1" customFormat="1" ht="11.25" customHeight="1" x14ac:dyDescent="0.2">
      <c r="A161" s="26"/>
      <c r="B161" s="26"/>
      <c r="C161" s="26"/>
      <c r="D161" s="26"/>
      <c r="E161" s="26"/>
      <c r="F161" s="26"/>
      <c r="G161" s="26" t="s">
        <v>172</v>
      </c>
      <c r="H161" s="28"/>
      <c r="I161" s="28">
        <v>11572</v>
      </c>
      <c r="J161" s="28"/>
      <c r="K161" s="28">
        <v>19433</v>
      </c>
      <c r="L161" s="28"/>
      <c r="M161" s="28">
        <v>29013</v>
      </c>
      <c r="N161" s="28"/>
      <c r="O161" s="28">
        <v>20234.29</v>
      </c>
      <c r="P161" s="28"/>
      <c r="Q161" s="28">
        <v>16654.560000000001</v>
      </c>
      <c r="R161" s="28"/>
      <c r="S161" s="9">
        <v>13045.35</v>
      </c>
      <c r="T161" s="9"/>
      <c r="U161" s="9"/>
      <c r="V161" s="9"/>
      <c r="W161" s="8">
        <v>7737.89</v>
      </c>
      <c r="X161" s="9"/>
      <c r="Y161" s="9">
        <v>15000</v>
      </c>
      <c r="AA161" s="9">
        <v>10000</v>
      </c>
      <c r="AC161" s="28">
        <f t="shared" si="73"/>
        <v>19676.04</v>
      </c>
      <c r="AD161" s="28">
        <f t="shared" si="74"/>
        <v>29013</v>
      </c>
      <c r="AE161" s="28">
        <f t="shared" si="75"/>
        <v>13045.35</v>
      </c>
      <c r="AG161" s="28">
        <f t="shared" si="76"/>
        <v>-11938.150000000001</v>
      </c>
      <c r="AH161" s="28">
        <f t="shared" si="77"/>
        <v>-21275.11</v>
      </c>
      <c r="AI161" s="28">
        <f t="shared" si="78"/>
        <v>-5307.46</v>
      </c>
      <c r="AK161" s="28">
        <f t="shared" si="79"/>
        <v>-4676.0400000000009</v>
      </c>
      <c r="AL161" s="28">
        <f t="shared" si="80"/>
        <v>-14013</v>
      </c>
      <c r="AM161" s="28">
        <f t="shared" si="81"/>
        <v>1954.6499999999996</v>
      </c>
    </row>
    <row r="162" spans="1:40" s="1" customFormat="1" ht="11.25" customHeight="1" x14ac:dyDescent="0.2">
      <c r="A162" s="26"/>
      <c r="B162" s="26"/>
      <c r="C162" s="26"/>
      <c r="D162" s="26"/>
      <c r="E162" s="26"/>
      <c r="F162" s="26"/>
      <c r="G162" s="26" t="s">
        <v>173</v>
      </c>
      <c r="H162" s="28"/>
      <c r="I162" s="28"/>
      <c r="J162" s="28"/>
      <c r="K162" s="28"/>
      <c r="L162" s="28"/>
      <c r="M162" s="28"/>
      <c r="N162" s="28"/>
      <c r="O162" s="28"/>
      <c r="P162" s="28"/>
      <c r="Q162" s="28">
        <v>1896.19</v>
      </c>
      <c r="R162" s="28"/>
      <c r="S162" s="9">
        <v>2640.75</v>
      </c>
      <c r="T162" s="9"/>
      <c r="U162" s="9"/>
      <c r="V162" s="9"/>
      <c r="W162" s="8">
        <v>3311.95</v>
      </c>
      <c r="X162" s="9"/>
      <c r="Y162" s="9">
        <v>2000</v>
      </c>
      <c r="AA162" s="9">
        <v>4000</v>
      </c>
      <c r="AC162" s="28">
        <f t="shared" si="73"/>
        <v>2268.4700000000003</v>
      </c>
      <c r="AD162" s="28">
        <f t="shared" si="74"/>
        <v>2640.75</v>
      </c>
      <c r="AE162" s="28">
        <f t="shared" si="75"/>
        <v>1896.19</v>
      </c>
      <c r="AG162" s="28">
        <f t="shared" si="76"/>
        <v>1043.4799999999996</v>
      </c>
      <c r="AH162" s="28">
        <f t="shared" si="77"/>
        <v>671.19999999999982</v>
      </c>
      <c r="AI162" s="28">
        <f t="shared" si="78"/>
        <v>1415.7599999999998</v>
      </c>
      <c r="AK162" s="28">
        <f t="shared" si="79"/>
        <v>-268.47000000000025</v>
      </c>
      <c r="AL162" s="28">
        <f t="shared" si="80"/>
        <v>-640.75</v>
      </c>
      <c r="AM162" s="28">
        <f t="shared" si="81"/>
        <v>103.80999999999995</v>
      </c>
    </row>
    <row r="163" spans="1:40" s="1" customFormat="1" ht="12" customHeight="1" thickBot="1" x14ac:dyDescent="0.25">
      <c r="A163" s="26"/>
      <c r="B163" s="26"/>
      <c r="C163" s="26"/>
      <c r="D163" s="26"/>
      <c r="E163" s="26"/>
      <c r="F163" s="26"/>
      <c r="G163" s="26" t="s">
        <v>174</v>
      </c>
      <c r="H163" s="28"/>
      <c r="I163" s="31">
        <v>9428</v>
      </c>
      <c r="J163" s="28"/>
      <c r="K163" s="31">
        <v>12249</v>
      </c>
      <c r="L163" s="28"/>
      <c r="M163" s="31">
        <v>19854</v>
      </c>
      <c r="N163" s="28"/>
      <c r="O163" s="31">
        <v>19238.939999999999</v>
      </c>
      <c r="P163" s="31"/>
      <c r="Q163" s="28">
        <v>8903.7900000000009</v>
      </c>
      <c r="R163" s="28"/>
      <c r="S163" s="9">
        <v>4082.49</v>
      </c>
      <c r="T163" s="11"/>
      <c r="U163" s="11"/>
      <c r="V163" s="9"/>
      <c r="W163" s="8">
        <v>2459.54</v>
      </c>
      <c r="X163" s="9"/>
      <c r="Y163" s="11">
        <v>11000</v>
      </c>
      <c r="AA163" s="11">
        <v>5000</v>
      </c>
      <c r="AC163" s="31">
        <f t="shared" si="73"/>
        <v>12865.644</v>
      </c>
      <c r="AD163" s="31">
        <f t="shared" si="74"/>
        <v>19854</v>
      </c>
      <c r="AE163" s="31">
        <f t="shared" si="75"/>
        <v>4082.49</v>
      </c>
      <c r="AG163" s="31">
        <f t="shared" si="76"/>
        <v>-10406.103999999999</v>
      </c>
      <c r="AH163" s="31">
        <f t="shared" si="77"/>
        <v>-17394.46</v>
      </c>
      <c r="AI163" s="31">
        <f t="shared" si="78"/>
        <v>-1622.9499999999998</v>
      </c>
      <c r="AK163" s="31">
        <f t="shared" si="79"/>
        <v>-1865.6440000000002</v>
      </c>
      <c r="AL163" s="31">
        <f t="shared" si="80"/>
        <v>-8854</v>
      </c>
      <c r="AM163" s="31">
        <f t="shared" si="81"/>
        <v>6917.51</v>
      </c>
    </row>
    <row r="164" spans="1:40" s="1" customFormat="1" ht="12" customHeight="1" thickBot="1" x14ac:dyDescent="0.25">
      <c r="A164" s="26"/>
      <c r="B164" s="26"/>
      <c r="C164" s="26"/>
      <c r="D164" s="26"/>
      <c r="E164" s="26"/>
      <c r="F164" s="26" t="s">
        <v>175</v>
      </c>
      <c r="G164" s="26"/>
      <c r="H164" s="28"/>
      <c r="I164" s="32">
        <f>ROUND(SUM(I155:I163),5)</f>
        <v>158483</v>
      </c>
      <c r="J164" s="28"/>
      <c r="K164" s="32">
        <f>ROUND(SUM(K155:K163),5)</f>
        <v>173932</v>
      </c>
      <c r="L164" s="28"/>
      <c r="M164" s="32">
        <f>ROUND(SUM(M155:M163),5)</f>
        <v>218780</v>
      </c>
      <c r="N164" s="28"/>
      <c r="O164" s="32">
        <f>ROUND(SUM(O155:O163),5)</f>
        <v>245178.72</v>
      </c>
      <c r="P164" s="32"/>
      <c r="Q164" s="32">
        <f>ROUND(SUM(Q155:Q163),5)</f>
        <v>312655.25</v>
      </c>
      <c r="R164" s="32"/>
      <c r="S164" s="12">
        <f>ROUND(SUM(S155:S163),5)</f>
        <v>185344.06</v>
      </c>
      <c r="T164" s="11"/>
      <c r="U164" s="11"/>
      <c r="V164" s="9"/>
      <c r="W164" s="12">
        <f>ROUND(SUM(W155:W163),5)</f>
        <v>177731.07</v>
      </c>
      <c r="X164" s="9"/>
      <c r="Y164" s="12">
        <f>ROUND(SUM(Y155:Y163),5)</f>
        <v>185315</v>
      </c>
      <c r="AA164" s="12">
        <f>ROUND(SUM(AA155:AA163),5)</f>
        <v>190000</v>
      </c>
      <c r="AC164" s="32">
        <f t="shared" ref="AC164:AE164" si="82">ROUND(SUM(AC155:AC163),5)</f>
        <v>232205.79300000001</v>
      </c>
      <c r="AD164" s="32">
        <f t="shared" si="82"/>
        <v>342610.95</v>
      </c>
      <c r="AE164" s="32">
        <f t="shared" si="82"/>
        <v>151252.85999999999</v>
      </c>
      <c r="AG164" s="32">
        <f t="shared" ref="AG164:AI164" si="83">ROUND(SUM(AG155:AG163),5)</f>
        <v>-54474.722999999998</v>
      </c>
      <c r="AH164" s="32">
        <f t="shared" si="83"/>
        <v>-164879.88</v>
      </c>
      <c r="AI164" s="32">
        <f t="shared" si="83"/>
        <v>26478.21</v>
      </c>
      <c r="AK164" s="32">
        <f t="shared" ref="AK164:AM164" si="84">ROUND(SUM(AK155:AK163),5)</f>
        <v>-46890.792999999998</v>
      </c>
      <c r="AL164" s="32">
        <f t="shared" si="84"/>
        <v>-157295.95000000001</v>
      </c>
      <c r="AM164" s="32">
        <f t="shared" si="84"/>
        <v>34062.14</v>
      </c>
    </row>
    <row r="165" spans="1:40" s="1" customFormat="1" ht="11.25" customHeight="1" x14ac:dyDescent="0.2">
      <c r="A165" s="26"/>
      <c r="B165" s="26"/>
      <c r="C165" s="26"/>
      <c r="D165" s="26"/>
      <c r="E165" s="35" t="s">
        <v>176</v>
      </c>
      <c r="F165" s="26"/>
      <c r="G165" s="26"/>
      <c r="H165" s="28"/>
      <c r="I165" s="28">
        <f>ROUND(I133+I140+I145+I151+I154+I164,5)</f>
        <v>450890</v>
      </c>
      <c r="J165" s="28"/>
      <c r="K165" s="28">
        <f>ROUND(K133+K140+K145+K151+K154+K164,5)</f>
        <v>485452</v>
      </c>
      <c r="L165" s="28"/>
      <c r="M165" s="28">
        <f>ROUND(M133+M140+M145+M151+M154+M164,5)</f>
        <v>541583</v>
      </c>
      <c r="N165" s="28"/>
      <c r="O165" s="28">
        <f>ROUND(O133+O140+O145+O151+O154+O164,5)</f>
        <v>595946.06999999995</v>
      </c>
      <c r="P165" s="28"/>
      <c r="Q165" s="28">
        <f>ROUND(Q133+Q140+Q145+Q151+Q154+Q164,5)</f>
        <v>672973.61</v>
      </c>
      <c r="R165" s="28"/>
      <c r="S165" s="9">
        <f>ROUND(S133+S140+S145+S151+S154+S164,5)</f>
        <v>577033.68999999994</v>
      </c>
      <c r="T165" s="9"/>
      <c r="U165" s="9"/>
      <c r="V165" s="9"/>
      <c r="W165" s="9">
        <f>ROUND(W133+W140+W145+W151+W154+W164,5)</f>
        <v>466458.49</v>
      </c>
      <c r="X165" s="9"/>
      <c r="Y165" s="9">
        <f>ROUND(Y133+Y140+Y145+Y151+Y154+Y164,5)</f>
        <v>586083</v>
      </c>
      <c r="AA165" s="9">
        <f>ROUND(AA133+AA140+AA145+AA151+AA154+AA164,5)</f>
        <v>620571.29189999995</v>
      </c>
      <c r="AC165" s="28">
        <f t="shared" ref="AC165:AE165" si="85">ROUND(AC133+AC140+AC145+AC151+AC154+AC164,5)</f>
        <v>585814.97699999996</v>
      </c>
      <c r="AD165" s="28">
        <f t="shared" si="85"/>
        <v>761392.59</v>
      </c>
      <c r="AE165" s="28">
        <f t="shared" si="85"/>
        <v>451519.04</v>
      </c>
      <c r="AG165" s="28">
        <f>ROUND(AG133+AG140+AG145+AG151+AG154+AG164,5)</f>
        <v>-119356.48699999999</v>
      </c>
      <c r="AH165" s="28">
        <f>ROUND(AH133+AH140+AH145+AH151+AH154+AH164,5)</f>
        <v>-294934.09999999998</v>
      </c>
      <c r="AI165" s="28">
        <f>ROUND(AI133+AI140+AI145+AI151+AI154+AI164,5)</f>
        <v>14939.45</v>
      </c>
      <c r="AK165" s="28">
        <f>ROUND(AK133+AK140+AK145+AK151+AK154+AK164,5)</f>
        <v>268.02300000000002</v>
      </c>
      <c r="AL165" s="28">
        <f>ROUND(AL133+AL140+AL145+AL151+AL154+AL164,5)</f>
        <v>-175309.59</v>
      </c>
      <c r="AM165" s="28">
        <f>ROUND(AM133+AM140+AM145+AM151+AM154+AM164,5)</f>
        <v>134563.96</v>
      </c>
    </row>
    <row r="166" spans="1:40" s="1" customFormat="1" ht="11.25" customHeight="1" x14ac:dyDescent="0.2">
      <c r="A166" s="26"/>
      <c r="B166" s="26"/>
      <c r="C166" s="26"/>
      <c r="D166" s="26"/>
      <c r="E166" s="26"/>
      <c r="F166" s="26"/>
      <c r="G166" s="26"/>
      <c r="H166" s="28"/>
      <c r="I166" s="28"/>
      <c r="J166" s="28"/>
      <c r="K166" s="28"/>
      <c r="L166" s="28"/>
      <c r="M166" s="28"/>
      <c r="N166" s="28"/>
      <c r="O166" s="28"/>
      <c r="P166" s="28"/>
      <c r="Q166" s="28"/>
      <c r="R166" s="28"/>
      <c r="S166" s="9"/>
      <c r="T166" s="9"/>
      <c r="U166" s="9"/>
      <c r="V166" s="9"/>
      <c r="W166" s="9"/>
      <c r="X166" s="9"/>
      <c r="Y166" s="9"/>
      <c r="AA166" s="9"/>
      <c r="AC166" s="28"/>
      <c r="AD166" s="28"/>
      <c r="AE166" s="28"/>
      <c r="AG166" s="28"/>
      <c r="AH166" s="28"/>
      <c r="AI166" s="28"/>
      <c r="AK166" s="28"/>
      <c r="AL166" s="28"/>
      <c r="AM166" s="28"/>
    </row>
    <row r="167" spans="1:40" s="1" customFormat="1" ht="11.25" customHeight="1" x14ac:dyDescent="0.2">
      <c r="A167" s="26"/>
      <c r="B167" s="26"/>
      <c r="C167" s="26"/>
      <c r="D167" s="26"/>
      <c r="E167" s="35" t="s">
        <v>177</v>
      </c>
      <c r="F167" s="26"/>
      <c r="G167" s="26"/>
      <c r="H167" s="28"/>
      <c r="I167" s="28"/>
      <c r="J167" s="28"/>
      <c r="K167" s="28"/>
      <c r="L167" s="28"/>
      <c r="M167" s="28"/>
      <c r="N167" s="28"/>
      <c r="O167" s="28"/>
      <c r="P167" s="28"/>
      <c r="Q167" s="28"/>
      <c r="R167" s="28"/>
      <c r="S167" s="9"/>
      <c r="T167" s="9"/>
      <c r="U167" s="9"/>
      <c r="V167" s="9"/>
      <c r="W167" s="9"/>
      <c r="X167" s="9"/>
      <c r="Y167" s="9"/>
      <c r="AA167" s="9"/>
      <c r="AC167" s="28"/>
      <c r="AD167" s="28"/>
      <c r="AE167" s="28"/>
      <c r="AG167" s="28"/>
      <c r="AH167" s="28"/>
      <c r="AI167" s="28"/>
      <c r="AK167" s="28"/>
      <c r="AL167" s="28"/>
      <c r="AM167" s="28"/>
    </row>
    <row r="168" spans="1:40" s="1" customFormat="1" ht="11.25" customHeight="1" x14ac:dyDescent="0.2">
      <c r="A168" s="26"/>
      <c r="B168" s="26"/>
      <c r="C168" s="26"/>
      <c r="D168" s="26"/>
      <c r="E168" s="26"/>
      <c r="F168" s="26" t="s">
        <v>178</v>
      </c>
      <c r="G168" s="26"/>
      <c r="H168" s="28"/>
      <c r="I168" s="28"/>
      <c r="J168" s="28"/>
      <c r="K168" s="28"/>
      <c r="L168" s="28"/>
      <c r="M168" s="28"/>
      <c r="N168" s="28"/>
      <c r="O168" s="28"/>
      <c r="P168" s="28"/>
      <c r="Q168" s="28"/>
      <c r="R168" s="28"/>
      <c r="S168" s="9"/>
      <c r="T168" s="9"/>
      <c r="U168" s="9"/>
      <c r="V168" s="9"/>
      <c r="W168" s="9"/>
      <c r="X168" s="9"/>
      <c r="Y168" s="9"/>
      <c r="AA168" s="9"/>
      <c r="AC168" s="28"/>
      <c r="AD168" s="28"/>
      <c r="AE168" s="28"/>
      <c r="AG168" s="28"/>
      <c r="AH168" s="28"/>
      <c r="AI168" s="28"/>
      <c r="AK168" s="28"/>
      <c r="AL168" s="28"/>
      <c r="AM168" s="28"/>
    </row>
    <row r="169" spans="1:40" s="1" customFormat="1" ht="11.25" customHeight="1" x14ac:dyDescent="0.2">
      <c r="A169" s="26"/>
      <c r="B169" s="26"/>
      <c r="C169" s="26"/>
      <c r="D169" s="26"/>
      <c r="E169" s="26"/>
      <c r="F169" s="26"/>
      <c r="G169" s="26" t="s">
        <v>179</v>
      </c>
      <c r="H169" s="28"/>
      <c r="I169" s="28">
        <v>587493</v>
      </c>
      <c r="J169" s="28"/>
      <c r="K169" s="28">
        <v>581647</v>
      </c>
      <c r="L169" s="28"/>
      <c r="M169" s="28">
        <v>528042</v>
      </c>
      <c r="N169" s="28"/>
      <c r="O169" s="28">
        <v>514245.02</v>
      </c>
      <c r="P169" s="28"/>
      <c r="Q169" s="28">
        <v>541982.52</v>
      </c>
      <c r="R169" s="28"/>
      <c r="S169" s="9">
        <v>543489.18000000005</v>
      </c>
      <c r="T169" s="9"/>
      <c r="U169" s="9"/>
      <c r="V169" s="9"/>
      <c r="W169" s="8">
        <v>600949.01</v>
      </c>
      <c r="X169" s="9"/>
      <c r="Y169" s="9">
        <v>628500</v>
      </c>
      <c r="AA169" s="9">
        <v>661452</v>
      </c>
      <c r="AC169" s="28">
        <f t="shared" ref="AC169:AC175" si="86">AVERAGE(K169:S169)</f>
        <v>541881.14400000009</v>
      </c>
      <c r="AD169" s="28">
        <f t="shared" ref="AD169:AD175" si="87">MAX(K169:S169)</f>
        <v>581647</v>
      </c>
      <c r="AE169" s="28">
        <f t="shared" ref="AE169:AE175" si="88">MIN(K169:S169)</f>
        <v>514245.02</v>
      </c>
      <c r="AG169" s="28">
        <f t="shared" ref="AG169:AG175" si="89">+W169-AC169</f>
        <v>59067.865999999922</v>
      </c>
      <c r="AH169" s="28">
        <f t="shared" ref="AH169:AH175" si="90">+W169-AD169</f>
        <v>19302.010000000009</v>
      </c>
      <c r="AI169" s="28">
        <f t="shared" ref="AI169:AI175" si="91">+W169-AE169</f>
        <v>86703.989999999991</v>
      </c>
      <c r="AK169" s="28">
        <f t="shared" ref="AK169:AK175" si="92">+Y169-AC169</f>
        <v>86618.855999999912</v>
      </c>
      <c r="AL169" s="28">
        <f t="shared" ref="AL169:AL175" si="93">+Y169-AD169</f>
        <v>46853</v>
      </c>
      <c r="AM169" s="28">
        <f t="shared" ref="AM169:AM175" si="94">+Y169-AE169</f>
        <v>114254.97999999998</v>
      </c>
    </row>
    <row r="170" spans="1:40" s="1" customFormat="1" ht="11.25" customHeight="1" x14ac:dyDescent="0.2">
      <c r="A170" s="26"/>
      <c r="B170" s="26"/>
      <c r="C170" s="26"/>
      <c r="D170" s="26"/>
      <c r="E170" s="26"/>
      <c r="F170" s="26"/>
      <c r="G170" s="30" t="s">
        <v>180</v>
      </c>
      <c r="H170" s="28"/>
      <c r="I170" s="28">
        <v>29214</v>
      </c>
      <c r="J170" s="28"/>
      <c r="K170" s="28">
        <v>21451</v>
      </c>
      <c r="L170" s="28"/>
      <c r="M170" s="28">
        <v>20480</v>
      </c>
      <c r="N170" s="28"/>
      <c r="O170" s="28">
        <v>3800</v>
      </c>
      <c r="P170" s="28"/>
      <c r="Q170" s="28">
        <v>9764</v>
      </c>
      <c r="R170" s="28"/>
      <c r="S170" s="9">
        <v>20614.75</v>
      </c>
      <c r="T170" s="9"/>
      <c r="U170" s="9"/>
      <c r="V170" s="9"/>
      <c r="W170" s="8">
        <v>0</v>
      </c>
      <c r="X170" s="9"/>
      <c r="Y170" s="9">
        <v>20000</v>
      </c>
      <c r="AA170" s="9">
        <v>20000</v>
      </c>
      <c r="AC170" s="28">
        <f t="shared" si="86"/>
        <v>15221.95</v>
      </c>
      <c r="AD170" s="28">
        <f t="shared" si="87"/>
        <v>21451</v>
      </c>
      <c r="AE170" s="28">
        <f t="shared" si="88"/>
        <v>3800</v>
      </c>
      <c r="AG170" s="28">
        <f t="shared" si="89"/>
        <v>-15221.95</v>
      </c>
      <c r="AH170" s="28">
        <f t="shared" si="90"/>
        <v>-21451</v>
      </c>
      <c r="AI170" s="28">
        <f t="shared" si="91"/>
        <v>-3800</v>
      </c>
      <c r="AK170" s="28">
        <f t="shared" si="92"/>
        <v>4778.0499999999993</v>
      </c>
      <c r="AL170" s="28">
        <f t="shared" si="93"/>
        <v>-1451</v>
      </c>
      <c r="AM170" s="28">
        <f t="shared" si="94"/>
        <v>16200</v>
      </c>
    </row>
    <row r="171" spans="1:40" s="1" customFormat="1" ht="11.25" customHeight="1" x14ac:dyDescent="0.2">
      <c r="A171" s="26"/>
      <c r="B171" s="26"/>
      <c r="C171" s="26"/>
      <c r="D171" s="26"/>
      <c r="E171" s="26"/>
      <c r="F171" s="26"/>
      <c r="G171" s="26" t="s">
        <v>181</v>
      </c>
      <c r="H171" s="28"/>
      <c r="I171" s="28">
        <v>52971</v>
      </c>
      <c r="J171" s="28"/>
      <c r="K171" s="28">
        <v>51746</v>
      </c>
      <c r="L171" s="28"/>
      <c r="M171" s="28">
        <v>45081</v>
      </c>
      <c r="N171" s="28"/>
      <c r="O171" s="28">
        <v>42449.7</v>
      </c>
      <c r="P171" s="28"/>
      <c r="Q171" s="28">
        <v>44484.160000000003</v>
      </c>
      <c r="R171" s="28"/>
      <c r="S171" s="9">
        <v>45124.01</v>
      </c>
      <c r="T171" s="9"/>
      <c r="U171" s="9"/>
      <c r="V171" s="9"/>
      <c r="W171" s="8">
        <v>45556.14</v>
      </c>
      <c r="X171" s="9"/>
      <c r="Y171" s="9">
        <v>50375</v>
      </c>
      <c r="AA171" s="9">
        <f>+(AA169+AA170)*0.0765</f>
        <v>52131.078000000001</v>
      </c>
      <c r="AC171" s="28">
        <f t="shared" si="86"/>
        <v>45776.974000000002</v>
      </c>
      <c r="AD171" s="28">
        <f t="shared" si="87"/>
        <v>51746</v>
      </c>
      <c r="AE171" s="28">
        <f t="shared" si="88"/>
        <v>42449.7</v>
      </c>
      <c r="AG171" s="28">
        <f t="shared" si="89"/>
        <v>-220.83400000000256</v>
      </c>
      <c r="AH171" s="28">
        <f t="shared" si="90"/>
        <v>-6189.8600000000006</v>
      </c>
      <c r="AI171" s="28">
        <f t="shared" si="91"/>
        <v>3106.4400000000023</v>
      </c>
      <c r="AK171" s="28">
        <f t="shared" si="92"/>
        <v>4598.025999999998</v>
      </c>
      <c r="AL171" s="28">
        <f t="shared" si="93"/>
        <v>-1371</v>
      </c>
      <c r="AM171" s="28">
        <f t="shared" si="94"/>
        <v>7925.3000000000029</v>
      </c>
    </row>
    <row r="172" spans="1:40" s="1" customFormat="1" ht="11.25" customHeight="1" x14ac:dyDescent="0.2">
      <c r="A172" s="26"/>
      <c r="B172" s="26"/>
      <c r="C172" s="26"/>
      <c r="D172" s="26"/>
      <c r="E172" s="26"/>
      <c r="F172" s="26"/>
      <c r="G172" s="26" t="s">
        <v>182</v>
      </c>
      <c r="H172" s="28"/>
      <c r="I172" s="28">
        <v>128888</v>
      </c>
      <c r="J172" s="28"/>
      <c r="K172" s="28">
        <v>146217</v>
      </c>
      <c r="L172" s="28"/>
      <c r="M172" s="28">
        <v>150959</v>
      </c>
      <c r="N172" s="28"/>
      <c r="O172" s="28">
        <v>137623.9</v>
      </c>
      <c r="P172" s="28"/>
      <c r="Q172" s="28">
        <v>151455.93</v>
      </c>
      <c r="R172" s="28"/>
      <c r="S172" s="9">
        <v>145936.26999999999</v>
      </c>
      <c r="T172" s="9"/>
      <c r="U172" s="9"/>
      <c r="V172" s="9"/>
      <c r="W172" s="8">
        <v>140532.76</v>
      </c>
      <c r="X172" s="9"/>
      <c r="Y172" s="9">
        <v>168843</v>
      </c>
      <c r="AA172" s="9">
        <v>147180</v>
      </c>
      <c r="AC172" s="28">
        <f t="shared" si="86"/>
        <v>146438.42000000001</v>
      </c>
      <c r="AD172" s="28">
        <f t="shared" si="87"/>
        <v>151455.93</v>
      </c>
      <c r="AE172" s="28">
        <f t="shared" si="88"/>
        <v>137623.9</v>
      </c>
      <c r="AG172" s="28">
        <f t="shared" si="89"/>
        <v>-5905.6600000000035</v>
      </c>
      <c r="AH172" s="28">
        <f t="shared" si="90"/>
        <v>-10923.169999999984</v>
      </c>
      <c r="AI172" s="28">
        <f t="shared" si="91"/>
        <v>2908.8600000000151</v>
      </c>
      <c r="AK172" s="28">
        <f t="shared" si="92"/>
        <v>22404.579999999987</v>
      </c>
      <c r="AL172" s="28">
        <f t="shared" si="93"/>
        <v>17387.070000000007</v>
      </c>
      <c r="AM172" s="28">
        <f t="shared" si="94"/>
        <v>31219.100000000006</v>
      </c>
    </row>
    <row r="173" spans="1:40" s="1" customFormat="1" ht="11.25" customHeight="1" x14ac:dyDescent="0.2">
      <c r="A173" s="26"/>
      <c r="B173" s="26"/>
      <c r="C173" s="26"/>
      <c r="D173" s="26"/>
      <c r="E173" s="26"/>
      <c r="F173" s="26"/>
      <c r="G173" s="26" t="s">
        <v>183</v>
      </c>
      <c r="H173" s="28"/>
      <c r="I173" s="28">
        <v>58884</v>
      </c>
      <c r="J173" s="28"/>
      <c r="K173" s="28">
        <v>58305</v>
      </c>
      <c r="L173" s="28"/>
      <c r="M173" s="28">
        <v>57194</v>
      </c>
      <c r="N173" s="28"/>
      <c r="O173" s="28">
        <v>51669.31</v>
      </c>
      <c r="P173" s="28"/>
      <c r="Q173" s="28">
        <v>67350.73</v>
      </c>
      <c r="R173" s="28"/>
      <c r="S173" s="9">
        <v>70836.23</v>
      </c>
      <c r="T173" s="9"/>
      <c r="U173" s="9"/>
      <c r="V173" s="9"/>
      <c r="W173" s="8">
        <v>74277.429999999993</v>
      </c>
      <c r="X173" s="9"/>
      <c r="Y173" s="9">
        <v>87317</v>
      </c>
      <c r="AA173" s="9">
        <v>85843</v>
      </c>
      <c r="AC173" s="28">
        <f t="shared" si="86"/>
        <v>61071.053999999989</v>
      </c>
      <c r="AD173" s="28">
        <f t="shared" si="87"/>
        <v>70836.23</v>
      </c>
      <c r="AE173" s="28">
        <f t="shared" si="88"/>
        <v>51669.31</v>
      </c>
      <c r="AG173" s="28">
        <f t="shared" si="89"/>
        <v>13206.376000000004</v>
      </c>
      <c r="AH173" s="28">
        <f t="shared" si="90"/>
        <v>3441.1999999999971</v>
      </c>
      <c r="AI173" s="28">
        <f t="shared" si="91"/>
        <v>22608.119999999995</v>
      </c>
      <c r="AK173" s="28">
        <f t="shared" si="92"/>
        <v>26245.946000000011</v>
      </c>
      <c r="AL173" s="28">
        <f t="shared" si="93"/>
        <v>16480.770000000004</v>
      </c>
      <c r="AM173" s="28">
        <f t="shared" si="94"/>
        <v>35647.69</v>
      </c>
    </row>
    <row r="174" spans="1:40" s="1" customFormat="1" ht="12" customHeight="1" x14ac:dyDescent="0.2">
      <c r="A174" s="26"/>
      <c r="B174" s="26"/>
      <c r="C174" s="26"/>
      <c r="D174" s="26"/>
      <c r="E174" s="26"/>
      <c r="F174" s="26"/>
      <c r="G174" s="26" t="s">
        <v>184</v>
      </c>
      <c r="H174" s="28"/>
      <c r="I174" s="31">
        <v>8603</v>
      </c>
      <c r="J174" s="31"/>
      <c r="K174" s="31">
        <v>4413</v>
      </c>
      <c r="L174" s="31"/>
      <c r="M174" s="31">
        <v>5499</v>
      </c>
      <c r="N174" s="31"/>
      <c r="O174" s="31">
        <v>3296.16</v>
      </c>
      <c r="P174" s="31"/>
      <c r="Q174" s="28">
        <v>9148.1299999999992</v>
      </c>
      <c r="R174" s="28"/>
      <c r="S174" s="9">
        <v>13743.12</v>
      </c>
      <c r="T174" s="11"/>
      <c r="U174" s="11"/>
      <c r="V174" s="11"/>
      <c r="W174" s="8">
        <v>3130.11</v>
      </c>
      <c r="X174" s="11"/>
      <c r="Y174" s="11">
        <v>7500</v>
      </c>
      <c r="Z174" s="16"/>
      <c r="AA174" s="11">
        <v>0</v>
      </c>
      <c r="AB174" s="16"/>
      <c r="AC174" s="31">
        <f t="shared" si="86"/>
        <v>7219.8820000000005</v>
      </c>
      <c r="AD174" s="31">
        <f t="shared" si="87"/>
        <v>13743.12</v>
      </c>
      <c r="AE174" s="31">
        <f t="shared" si="88"/>
        <v>3296.16</v>
      </c>
      <c r="AG174" s="31">
        <f t="shared" si="89"/>
        <v>-4089.7720000000004</v>
      </c>
      <c r="AH174" s="31">
        <f t="shared" si="90"/>
        <v>-10613.01</v>
      </c>
      <c r="AI174" s="31">
        <f t="shared" si="91"/>
        <v>-166.04999999999973</v>
      </c>
      <c r="AK174" s="31">
        <f t="shared" si="92"/>
        <v>280.11799999999948</v>
      </c>
      <c r="AL174" s="31">
        <f t="shared" si="93"/>
        <v>-6243.1200000000008</v>
      </c>
      <c r="AM174" s="31">
        <f t="shared" si="94"/>
        <v>4203.84</v>
      </c>
      <c r="AN174" s="16"/>
    </row>
    <row r="175" spans="1:40" s="1" customFormat="1" ht="12" customHeight="1" thickBot="1" x14ac:dyDescent="0.25">
      <c r="A175" s="26"/>
      <c r="B175" s="26"/>
      <c r="C175" s="26"/>
      <c r="D175" s="26"/>
      <c r="E175" s="26"/>
      <c r="F175" s="26"/>
      <c r="G175" s="26" t="s">
        <v>185</v>
      </c>
      <c r="H175" s="28"/>
      <c r="I175" s="33"/>
      <c r="J175" s="28"/>
      <c r="K175" s="33"/>
      <c r="L175" s="28"/>
      <c r="M175" s="33"/>
      <c r="N175" s="28"/>
      <c r="O175" s="33"/>
      <c r="P175" s="33"/>
      <c r="Q175" s="33">
        <v>0</v>
      </c>
      <c r="R175" s="33"/>
      <c r="S175" s="14">
        <v>37854.42</v>
      </c>
      <c r="T175" s="11"/>
      <c r="U175" s="11"/>
      <c r="V175" s="9"/>
      <c r="W175" s="13">
        <v>20678.5</v>
      </c>
      <c r="X175" s="9"/>
      <c r="Y175" s="14">
        <v>41530</v>
      </c>
      <c r="AA175" s="14">
        <f>+AA169*6.88/100</f>
        <v>45507.897599999997</v>
      </c>
      <c r="AC175" s="33">
        <f t="shared" si="86"/>
        <v>18927.21</v>
      </c>
      <c r="AD175" s="33">
        <f t="shared" si="87"/>
        <v>37854.42</v>
      </c>
      <c r="AE175" s="33">
        <f t="shared" si="88"/>
        <v>0</v>
      </c>
      <c r="AG175" s="33">
        <f t="shared" si="89"/>
        <v>1751.2900000000009</v>
      </c>
      <c r="AH175" s="33">
        <f t="shared" si="90"/>
        <v>-17175.919999999998</v>
      </c>
      <c r="AI175" s="33">
        <f t="shared" si="91"/>
        <v>20678.5</v>
      </c>
      <c r="AK175" s="33">
        <f t="shared" si="92"/>
        <v>22602.79</v>
      </c>
      <c r="AL175" s="33">
        <f t="shared" si="93"/>
        <v>3675.5800000000017</v>
      </c>
      <c r="AM175" s="33">
        <f t="shared" si="94"/>
        <v>41530</v>
      </c>
    </row>
    <row r="176" spans="1:40" s="1" customFormat="1" ht="11.25" customHeight="1" x14ac:dyDescent="0.2">
      <c r="A176" s="26"/>
      <c r="B176" s="26"/>
      <c r="C176" s="26"/>
      <c r="D176" s="26"/>
      <c r="E176" s="26"/>
      <c r="F176" s="26" t="s">
        <v>186</v>
      </c>
      <c r="G176" s="26"/>
      <c r="H176" s="28"/>
      <c r="I176" s="28">
        <f>ROUND(SUM(I168:I175),5)</f>
        <v>866053</v>
      </c>
      <c r="J176" s="28"/>
      <c r="K176" s="28">
        <f>ROUND(SUM(K168:K175),5)</f>
        <v>863779</v>
      </c>
      <c r="L176" s="28"/>
      <c r="M176" s="28">
        <f>ROUND(SUM(M168:M175),5)</f>
        <v>807255</v>
      </c>
      <c r="N176" s="28"/>
      <c r="O176" s="28">
        <f>ROUND(SUM(O168:O175),5)</f>
        <v>753084.09</v>
      </c>
      <c r="P176" s="28"/>
      <c r="Q176" s="28">
        <f>ROUND(SUM(Q168:Q175),5)</f>
        <v>824185.47</v>
      </c>
      <c r="R176" s="28"/>
      <c r="S176" s="9">
        <f>ROUND(SUM(S168:S175),5)</f>
        <v>877597.98</v>
      </c>
      <c r="T176" s="9"/>
      <c r="U176" s="9"/>
      <c r="V176" s="9"/>
      <c r="W176" s="9">
        <f>ROUND(SUM(W168:W175),5)</f>
        <v>885123.95</v>
      </c>
      <c r="X176" s="9"/>
      <c r="Y176" s="9">
        <f>ROUND(SUM(Y168:Y175),5)</f>
        <v>1004065</v>
      </c>
      <c r="AA176" s="9">
        <f>ROUND(SUM(AA168:AA175),5)</f>
        <v>1012113.9756</v>
      </c>
      <c r="AC176" s="28">
        <f>ROUND(SUM(AC168:AC175),5)</f>
        <v>836536.63399999996</v>
      </c>
      <c r="AD176" s="28">
        <f>ROUND(SUM(AD168:AD174),5)</f>
        <v>890879.28</v>
      </c>
      <c r="AE176" s="28">
        <f>ROUND(SUM(AE168:AE175),5)</f>
        <v>753084.09</v>
      </c>
      <c r="AG176" s="28">
        <f>ROUND(SUM(AG168:AG175),5)</f>
        <v>48587.315999999999</v>
      </c>
      <c r="AH176" s="28">
        <f>ROUND(SUM(AH168:AH174),5)</f>
        <v>-26433.83</v>
      </c>
      <c r="AI176" s="28">
        <f>ROUND(SUM(AI168:AI175),5)</f>
        <v>132039.85999999999</v>
      </c>
      <c r="AK176" s="28">
        <f>ROUND(SUM(AK168:AK175),5)</f>
        <v>167528.36600000001</v>
      </c>
      <c r="AL176" s="28">
        <f>ROUND(SUM(AL168:AL174),5)</f>
        <v>71655.72</v>
      </c>
      <c r="AM176" s="28">
        <f>ROUND(SUM(AM168:AM175),5)</f>
        <v>250980.91</v>
      </c>
    </row>
    <row r="177" spans="1:39" s="1" customFormat="1" ht="11.25" customHeight="1" x14ac:dyDescent="0.2">
      <c r="A177" s="26"/>
      <c r="B177" s="26"/>
      <c r="C177" s="26"/>
      <c r="D177" s="26"/>
      <c r="E177" s="26"/>
      <c r="F177" s="35" t="s">
        <v>187</v>
      </c>
      <c r="G177" s="26"/>
      <c r="H177" s="28"/>
      <c r="I177" s="28"/>
      <c r="J177" s="28"/>
      <c r="K177" s="28"/>
      <c r="L177" s="28"/>
      <c r="M177" s="28"/>
      <c r="N177" s="28"/>
      <c r="O177" s="28"/>
      <c r="P177" s="28"/>
      <c r="Q177" s="28"/>
      <c r="R177" s="28"/>
      <c r="S177" s="9"/>
      <c r="T177" s="9"/>
      <c r="U177" s="9"/>
      <c r="V177" s="9"/>
      <c r="W177" s="9"/>
      <c r="X177" s="9"/>
      <c r="Y177" s="9"/>
      <c r="AA177" s="9"/>
      <c r="AC177" s="28"/>
      <c r="AD177" s="28">
        <f t="shared" ref="AD177:AD182" si="95">MAX(K177:S177)</f>
        <v>0</v>
      </c>
      <c r="AE177" s="28">
        <f t="shared" ref="AE177:AE182" si="96">MIN(K177:S177)</f>
        <v>0</v>
      </c>
      <c r="AG177" s="28">
        <f t="shared" ref="AG177:AG182" si="97">+W177-AC177</f>
        <v>0</v>
      </c>
      <c r="AH177" s="28">
        <f t="shared" ref="AH177:AH182" si="98">+W177-AD177</f>
        <v>0</v>
      </c>
      <c r="AI177" s="28">
        <f t="shared" ref="AI177:AI182" si="99">+W177-AE177</f>
        <v>0</v>
      </c>
      <c r="AK177" s="28">
        <f t="shared" ref="AK177:AK182" si="100">+Y177-AC177</f>
        <v>0</v>
      </c>
      <c r="AL177" s="28">
        <f t="shared" ref="AL177:AL182" si="101">+Y177-AD177</f>
        <v>0</v>
      </c>
      <c r="AM177" s="28">
        <f t="shared" ref="AM177:AM182" si="102">+Y177-AE177</f>
        <v>0</v>
      </c>
    </row>
    <row r="178" spans="1:39" s="1" customFormat="1" ht="11.25" customHeight="1" x14ac:dyDescent="0.2">
      <c r="A178" s="26"/>
      <c r="B178" s="26"/>
      <c r="C178" s="26"/>
      <c r="D178" s="26"/>
      <c r="E178" s="26"/>
      <c r="F178" s="26"/>
      <c r="G178" s="30" t="s">
        <v>188</v>
      </c>
      <c r="H178" s="28"/>
      <c r="I178" s="28"/>
      <c r="J178" s="28"/>
      <c r="K178" s="28"/>
      <c r="L178" s="28"/>
      <c r="M178" s="28">
        <v>175829</v>
      </c>
      <c r="N178" s="28"/>
      <c r="O178" s="28">
        <v>102866.08</v>
      </c>
      <c r="P178" s="28"/>
      <c r="Q178" s="28">
        <v>79599.28</v>
      </c>
      <c r="R178" s="28"/>
      <c r="S178" s="9">
        <v>115008.14</v>
      </c>
      <c r="T178" s="9"/>
      <c r="U178" s="9"/>
      <c r="V178" s="9"/>
      <c r="W178" s="8">
        <v>105870.89</v>
      </c>
      <c r="X178" s="9"/>
      <c r="Y178" s="9">
        <v>128005</v>
      </c>
      <c r="AA178" s="9">
        <v>127491</v>
      </c>
      <c r="AC178" s="28">
        <f>AVERAGE(K178:S178)</f>
        <v>118325.625</v>
      </c>
      <c r="AD178" s="28">
        <f t="shared" si="95"/>
        <v>175829</v>
      </c>
      <c r="AE178" s="28">
        <f t="shared" si="96"/>
        <v>79599.28</v>
      </c>
      <c r="AG178" s="28">
        <f t="shared" si="97"/>
        <v>-12454.735000000001</v>
      </c>
      <c r="AH178" s="28">
        <f t="shared" si="98"/>
        <v>-69958.11</v>
      </c>
      <c r="AI178" s="28">
        <f t="shared" si="99"/>
        <v>26271.61</v>
      </c>
      <c r="AK178" s="28">
        <f t="shared" si="100"/>
        <v>9679.375</v>
      </c>
      <c r="AL178" s="28">
        <f t="shared" si="101"/>
        <v>-47824</v>
      </c>
      <c r="AM178" s="28">
        <f t="shared" si="102"/>
        <v>48405.72</v>
      </c>
    </row>
    <row r="179" spans="1:39" s="1" customFormat="1" ht="11.25" customHeight="1" x14ac:dyDescent="0.2">
      <c r="A179" s="26"/>
      <c r="B179" s="26"/>
      <c r="C179" s="26"/>
      <c r="D179" s="26"/>
      <c r="E179" s="26"/>
      <c r="F179" s="26"/>
      <c r="G179" s="26" t="s">
        <v>189</v>
      </c>
      <c r="H179" s="28"/>
      <c r="I179" s="28"/>
      <c r="J179" s="28"/>
      <c r="K179" s="28"/>
      <c r="L179" s="28"/>
      <c r="M179" s="28">
        <v>15778</v>
      </c>
      <c r="N179" s="28"/>
      <c r="O179" s="28">
        <v>8884.81</v>
      </c>
      <c r="P179" s="28"/>
      <c r="Q179" s="28">
        <v>6737.95</v>
      </c>
      <c r="R179" s="28"/>
      <c r="S179" s="9">
        <v>10839.65</v>
      </c>
      <c r="T179" s="9"/>
      <c r="U179" s="9"/>
      <c r="V179" s="9"/>
      <c r="W179" s="8">
        <v>9369.31</v>
      </c>
      <c r="X179" s="9"/>
      <c r="Y179" s="9">
        <v>9521</v>
      </c>
      <c r="AA179" s="9">
        <f>+AA178*0.0765</f>
        <v>9753.0614999999998</v>
      </c>
      <c r="AC179" s="28">
        <f>AVERAGE(K179:S179)</f>
        <v>10560.102499999999</v>
      </c>
      <c r="AD179" s="28">
        <f t="shared" si="95"/>
        <v>15778</v>
      </c>
      <c r="AE179" s="28">
        <f t="shared" si="96"/>
        <v>6737.95</v>
      </c>
      <c r="AG179" s="28">
        <f t="shared" si="97"/>
        <v>-1190.7924999999996</v>
      </c>
      <c r="AH179" s="28">
        <f t="shared" si="98"/>
        <v>-6408.6900000000005</v>
      </c>
      <c r="AI179" s="28">
        <f t="shared" si="99"/>
        <v>2631.3599999999997</v>
      </c>
      <c r="AK179" s="28">
        <f t="shared" si="100"/>
        <v>-1039.1024999999991</v>
      </c>
      <c r="AL179" s="28">
        <f t="shared" si="101"/>
        <v>-6257</v>
      </c>
      <c r="AM179" s="28">
        <f t="shared" si="102"/>
        <v>2783.05</v>
      </c>
    </row>
    <row r="180" spans="1:39" s="1" customFormat="1" ht="11.25" customHeight="1" x14ac:dyDescent="0.2">
      <c r="A180" s="26"/>
      <c r="B180" s="26"/>
      <c r="C180" s="26"/>
      <c r="D180" s="26"/>
      <c r="E180" s="26"/>
      <c r="F180" s="26"/>
      <c r="G180" s="26" t="s">
        <v>190</v>
      </c>
      <c r="H180" s="28"/>
      <c r="I180" s="28"/>
      <c r="J180" s="28"/>
      <c r="K180" s="28"/>
      <c r="L180" s="28"/>
      <c r="M180" s="28">
        <v>7145</v>
      </c>
      <c r="N180" s="28"/>
      <c r="O180" s="28">
        <v>30309.200000000001</v>
      </c>
      <c r="P180" s="28"/>
      <c r="Q180" s="28">
        <v>31894.44</v>
      </c>
      <c r="R180" s="28"/>
      <c r="S180" s="9">
        <v>29540.34</v>
      </c>
      <c r="T180" s="9"/>
      <c r="U180" s="9"/>
      <c r="V180" s="9"/>
      <c r="W180" s="8">
        <v>37836.58</v>
      </c>
      <c r="X180" s="9"/>
      <c r="Y180" s="9">
        <v>40248</v>
      </c>
      <c r="AA180" s="9">
        <v>40507</v>
      </c>
      <c r="AC180" s="28">
        <f>AVERAGE(K180:S180)</f>
        <v>24722.244999999999</v>
      </c>
      <c r="AD180" s="28">
        <f t="shared" si="95"/>
        <v>31894.44</v>
      </c>
      <c r="AE180" s="28">
        <f t="shared" si="96"/>
        <v>7145</v>
      </c>
      <c r="AG180" s="28">
        <f t="shared" si="97"/>
        <v>13114.335000000003</v>
      </c>
      <c r="AH180" s="28">
        <f t="shared" si="98"/>
        <v>5942.1400000000031</v>
      </c>
      <c r="AI180" s="28">
        <f t="shared" si="99"/>
        <v>30691.58</v>
      </c>
      <c r="AK180" s="28">
        <f t="shared" si="100"/>
        <v>15525.755000000001</v>
      </c>
      <c r="AL180" s="28">
        <f t="shared" si="101"/>
        <v>8353.5600000000013</v>
      </c>
      <c r="AM180" s="28">
        <f t="shared" si="102"/>
        <v>33103</v>
      </c>
    </row>
    <row r="181" spans="1:39" s="16" customFormat="1" ht="11.25" customHeight="1" x14ac:dyDescent="0.2">
      <c r="A181" s="26"/>
      <c r="B181" s="26"/>
      <c r="C181" s="26"/>
      <c r="D181" s="26"/>
      <c r="E181" s="26"/>
      <c r="F181" s="26"/>
      <c r="G181" s="26" t="s">
        <v>191</v>
      </c>
      <c r="H181" s="31"/>
      <c r="I181" s="31"/>
      <c r="J181" s="31"/>
      <c r="K181" s="31"/>
      <c r="L181" s="31"/>
      <c r="M181" s="31"/>
      <c r="N181" s="31"/>
      <c r="O181" s="31"/>
      <c r="P181" s="31"/>
      <c r="Q181" s="28">
        <v>1193.6199999999999</v>
      </c>
      <c r="R181" s="28"/>
      <c r="S181" s="9">
        <v>1502.56</v>
      </c>
      <c r="T181" s="11"/>
      <c r="U181" s="11"/>
      <c r="V181" s="11"/>
      <c r="W181" s="8">
        <v>1660.02</v>
      </c>
      <c r="X181" s="11"/>
      <c r="Y181" s="11">
        <v>1947</v>
      </c>
      <c r="AA181" s="11">
        <v>1986</v>
      </c>
      <c r="AC181" s="31">
        <f>AVERAGE(K181:S181)</f>
        <v>1348.09</v>
      </c>
      <c r="AD181" s="31">
        <f t="shared" si="95"/>
        <v>1502.56</v>
      </c>
      <c r="AE181" s="31">
        <f t="shared" si="96"/>
        <v>1193.6199999999999</v>
      </c>
      <c r="AF181" s="1"/>
      <c r="AG181" s="31">
        <f t="shared" si="97"/>
        <v>311.93000000000006</v>
      </c>
      <c r="AH181" s="31">
        <f t="shared" si="98"/>
        <v>157.46000000000004</v>
      </c>
      <c r="AI181" s="31">
        <f t="shared" si="99"/>
        <v>466.40000000000009</v>
      </c>
      <c r="AJ181" s="1"/>
      <c r="AK181" s="31">
        <f t="shared" si="100"/>
        <v>598.91000000000008</v>
      </c>
      <c r="AL181" s="31">
        <f t="shared" si="101"/>
        <v>444.44000000000005</v>
      </c>
      <c r="AM181" s="31">
        <f t="shared" si="102"/>
        <v>753.38000000000011</v>
      </c>
    </row>
    <row r="182" spans="1:39" s="1" customFormat="1" ht="12" customHeight="1" thickBot="1" x14ac:dyDescent="0.25">
      <c r="A182" s="26"/>
      <c r="B182" s="26"/>
      <c r="C182" s="26"/>
      <c r="D182" s="26"/>
      <c r="E182" s="26"/>
      <c r="F182" s="26"/>
      <c r="G182" s="26" t="s">
        <v>192</v>
      </c>
      <c r="H182" s="28"/>
      <c r="I182" s="33"/>
      <c r="J182" s="28"/>
      <c r="K182" s="33"/>
      <c r="L182" s="28"/>
      <c r="M182" s="33"/>
      <c r="N182" s="28"/>
      <c r="O182" s="33"/>
      <c r="P182" s="33"/>
      <c r="Q182" s="33">
        <v>0</v>
      </c>
      <c r="R182" s="33"/>
      <c r="S182" s="14">
        <v>362.72</v>
      </c>
      <c r="T182" s="11"/>
      <c r="U182" s="11"/>
      <c r="V182" s="9"/>
      <c r="W182" s="13">
        <v>189.1</v>
      </c>
      <c r="X182" s="9"/>
      <c r="Y182" s="14">
        <v>354</v>
      </c>
      <c r="AA182" s="14">
        <f>+AA178*0.29/100</f>
        <v>369.72390000000001</v>
      </c>
      <c r="AC182" s="33">
        <f>AVERAGE(K182:S182)</f>
        <v>181.36</v>
      </c>
      <c r="AD182" s="33">
        <f t="shared" si="95"/>
        <v>362.72</v>
      </c>
      <c r="AE182" s="33">
        <f t="shared" si="96"/>
        <v>0</v>
      </c>
      <c r="AG182" s="33">
        <f t="shared" si="97"/>
        <v>7.7399999999999807</v>
      </c>
      <c r="AH182" s="33">
        <f t="shared" si="98"/>
        <v>-173.62000000000003</v>
      </c>
      <c r="AI182" s="33">
        <f t="shared" si="99"/>
        <v>189.1</v>
      </c>
      <c r="AK182" s="33">
        <f t="shared" si="100"/>
        <v>172.64</v>
      </c>
      <c r="AL182" s="33">
        <f t="shared" si="101"/>
        <v>-8.7200000000000273</v>
      </c>
      <c r="AM182" s="33">
        <f t="shared" si="102"/>
        <v>354</v>
      </c>
    </row>
    <row r="183" spans="1:39" s="1" customFormat="1" ht="11.25" customHeight="1" x14ac:dyDescent="0.2">
      <c r="A183" s="26"/>
      <c r="B183" s="26"/>
      <c r="C183" s="26"/>
      <c r="D183" s="26"/>
      <c r="E183" s="26"/>
      <c r="F183" s="26" t="s">
        <v>193</v>
      </c>
      <c r="G183" s="26"/>
      <c r="H183" s="28"/>
      <c r="I183" s="28">
        <f>SUM(I177:I182)</f>
        <v>0</v>
      </c>
      <c r="J183" s="28"/>
      <c r="K183" s="28">
        <f>SUM(K177:K182)</f>
        <v>0</v>
      </c>
      <c r="L183" s="28"/>
      <c r="M183" s="28">
        <f>SUM(M177:M182)</f>
        <v>198752</v>
      </c>
      <c r="N183" s="28"/>
      <c r="O183" s="28">
        <f>SUM(O177:O182)</f>
        <v>142060.09</v>
      </c>
      <c r="P183" s="28"/>
      <c r="Q183" s="28">
        <f>SUM(Q177:Q182)</f>
        <v>119425.29</v>
      </c>
      <c r="R183" s="28"/>
      <c r="S183" s="9">
        <f>SUM(S177:S182)</f>
        <v>157253.41</v>
      </c>
      <c r="T183" s="9"/>
      <c r="U183" s="9"/>
      <c r="V183" s="9"/>
      <c r="W183" s="9">
        <f>SUM(W177:W182)</f>
        <v>154925.9</v>
      </c>
      <c r="X183" s="9"/>
      <c r="Y183" s="9">
        <f>SUM(Y177:Y182)</f>
        <v>180075</v>
      </c>
      <c r="AA183" s="9">
        <f>SUM(AA177:AA182)</f>
        <v>180106.78540000002</v>
      </c>
      <c r="AC183" s="28">
        <f>SUM(AC177:AC182)</f>
        <v>155137.42249999999</v>
      </c>
      <c r="AD183" s="28">
        <f>SUM(AD177:AD182)</f>
        <v>225366.72</v>
      </c>
      <c r="AE183" s="28">
        <f>SUM(AE177:AE182)</f>
        <v>94675.849999999991</v>
      </c>
      <c r="AG183" s="28">
        <f>SUM(AG177:AG182)</f>
        <v>-211.52249999999734</v>
      </c>
      <c r="AH183" s="28">
        <f>SUM(AH177:AH182)</f>
        <v>-70440.819999999992</v>
      </c>
      <c r="AI183" s="28">
        <f>SUM(AI177:AI182)</f>
        <v>60250.05</v>
      </c>
      <c r="AK183" s="28">
        <f>SUM(AK177:AK182)</f>
        <v>24937.577500000003</v>
      </c>
      <c r="AL183" s="28">
        <f>SUM(AL177:AL182)</f>
        <v>-45291.72</v>
      </c>
      <c r="AM183" s="28">
        <f>SUM(AM177:AM182)</f>
        <v>85399.150000000009</v>
      </c>
    </row>
    <row r="184" spans="1:39" s="1" customFormat="1" ht="11.25" customHeight="1" x14ac:dyDescent="0.2">
      <c r="A184" s="26"/>
      <c r="B184" s="26"/>
      <c r="C184" s="26"/>
      <c r="D184" s="26"/>
      <c r="E184" s="26"/>
      <c r="F184" s="30" t="s">
        <v>352</v>
      </c>
      <c r="G184" s="26"/>
      <c r="H184" s="28"/>
      <c r="I184" s="28"/>
      <c r="J184" s="28"/>
      <c r="K184" s="28"/>
      <c r="L184" s="28"/>
      <c r="M184" s="28"/>
      <c r="N184" s="28"/>
      <c r="O184" s="28"/>
      <c r="P184" s="28"/>
      <c r="Q184" s="28"/>
      <c r="R184" s="28"/>
      <c r="S184" s="9"/>
      <c r="T184" s="9"/>
      <c r="U184" s="9"/>
      <c r="V184" s="9"/>
      <c r="W184" s="9"/>
      <c r="X184" s="9"/>
      <c r="Y184" s="9"/>
      <c r="AA184" s="9"/>
      <c r="AC184" s="28"/>
      <c r="AD184" s="28"/>
      <c r="AE184" s="28"/>
      <c r="AG184" s="28"/>
      <c r="AH184" s="28"/>
      <c r="AI184" s="28"/>
      <c r="AK184" s="28"/>
      <c r="AL184" s="28"/>
      <c r="AM184" s="28"/>
    </row>
    <row r="185" spans="1:39" s="1" customFormat="1" ht="11.25" customHeight="1" x14ac:dyDescent="0.2">
      <c r="A185" s="26"/>
      <c r="B185" s="26"/>
      <c r="C185" s="26"/>
      <c r="D185" s="26"/>
      <c r="E185" s="26"/>
      <c r="F185" s="26"/>
      <c r="G185" s="26" t="s">
        <v>194</v>
      </c>
      <c r="H185" s="28"/>
      <c r="I185" s="28">
        <v>279488</v>
      </c>
      <c r="J185" s="28"/>
      <c r="K185" s="28">
        <v>282160</v>
      </c>
      <c r="L185" s="28"/>
      <c r="M185" s="28">
        <v>294940</v>
      </c>
      <c r="N185" s="28"/>
      <c r="O185" s="28">
        <v>194658.96</v>
      </c>
      <c r="P185" s="28"/>
      <c r="Q185" s="28">
        <v>202240.85</v>
      </c>
      <c r="R185" s="28"/>
      <c r="S185" s="9">
        <v>162143.29</v>
      </c>
      <c r="T185" s="9"/>
      <c r="U185" s="9"/>
      <c r="V185" s="9"/>
      <c r="W185" s="8">
        <v>157168.18</v>
      </c>
      <c r="X185" s="9"/>
      <c r="Y185" s="9">
        <v>212040</v>
      </c>
      <c r="AA185" s="9">
        <v>218401</v>
      </c>
      <c r="AC185" s="28">
        <f>AVERAGE(K185:S185)</f>
        <v>227228.61999999997</v>
      </c>
      <c r="AD185" s="28">
        <f>MAX(K185:S185)</f>
        <v>294940</v>
      </c>
      <c r="AE185" s="28">
        <f>MIN(K185:S185)</f>
        <v>162143.29</v>
      </c>
      <c r="AG185" s="28">
        <f>+W185-AC185</f>
        <v>-70060.439999999973</v>
      </c>
      <c r="AH185" s="28">
        <f>+W185-AD185</f>
        <v>-137771.82</v>
      </c>
      <c r="AI185" s="28">
        <f>+W185-AE185</f>
        <v>-4975.1100000000151</v>
      </c>
      <c r="AK185" s="28">
        <f>+Y185-AC185</f>
        <v>-15188.619999999966</v>
      </c>
      <c r="AL185" s="28">
        <f>+Y185-AD185</f>
        <v>-82900</v>
      </c>
      <c r="AM185" s="28">
        <f>+Y185-AE185</f>
        <v>49896.709999999992</v>
      </c>
    </row>
    <row r="186" spans="1:39" s="1" customFormat="1" ht="11.25" customHeight="1" x14ac:dyDescent="0.2">
      <c r="A186" s="26"/>
      <c r="B186" s="26"/>
      <c r="C186" s="26"/>
      <c r="D186" s="26"/>
      <c r="E186" s="26"/>
      <c r="F186" s="26"/>
      <c r="G186" s="26" t="s">
        <v>195</v>
      </c>
      <c r="H186" s="28"/>
      <c r="I186" s="28">
        <v>29118</v>
      </c>
      <c r="J186" s="28"/>
      <c r="K186" s="28">
        <v>26800</v>
      </c>
      <c r="L186" s="28"/>
      <c r="M186" s="28">
        <v>28654</v>
      </c>
      <c r="N186" s="28"/>
      <c r="O186" s="28">
        <v>18160.48</v>
      </c>
      <c r="P186" s="28"/>
      <c r="Q186" s="28">
        <v>20085.45</v>
      </c>
      <c r="R186" s="28"/>
      <c r="S186" s="9">
        <v>14966</v>
      </c>
      <c r="T186" s="9"/>
      <c r="U186" s="9"/>
      <c r="V186" s="9"/>
      <c r="W186" s="8">
        <v>13589.64</v>
      </c>
      <c r="X186" s="9"/>
      <c r="Y186" s="9">
        <v>16222</v>
      </c>
      <c r="AA186" s="9">
        <f>+AA185*0.09</f>
        <v>19656.09</v>
      </c>
      <c r="AC186" s="28">
        <f>AVERAGE(K186:S186)</f>
        <v>21733.185999999998</v>
      </c>
      <c r="AD186" s="28">
        <f>MAX(K186:S186)</f>
        <v>28654</v>
      </c>
      <c r="AE186" s="28">
        <f>MIN(K186:S186)</f>
        <v>14966</v>
      </c>
      <c r="AG186" s="28">
        <f>+W186-AC186</f>
        <v>-8143.5459999999985</v>
      </c>
      <c r="AH186" s="28">
        <f>+W186-AD186</f>
        <v>-15064.36</v>
      </c>
      <c r="AI186" s="28">
        <f>+W186-AE186</f>
        <v>-1376.3600000000006</v>
      </c>
      <c r="AK186" s="28">
        <f>+Y186-AC186</f>
        <v>-5511.1859999999979</v>
      </c>
      <c r="AL186" s="28">
        <f>+Y186-AD186</f>
        <v>-12432</v>
      </c>
      <c r="AM186" s="28">
        <f>+Y186-AE186</f>
        <v>1256</v>
      </c>
    </row>
    <row r="187" spans="1:39" s="16" customFormat="1" ht="11.25" customHeight="1" x14ac:dyDescent="0.2">
      <c r="A187" s="26"/>
      <c r="B187" s="26"/>
      <c r="C187" s="26"/>
      <c r="D187" s="26"/>
      <c r="E187" s="26"/>
      <c r="F187" s="26"/>
      <c r="G187" s="26" t="s">
        <v>196</v>
      </c>
      <c r="H187" s="31"/>
      <c r="I187" s="31">
        <v>3133</v>
      </c>
      <c r="J187" s="31"/>
      <c r="K187" s="31">
        <v>2138</v>
      </c>
      <c r="L187" s="31"/>
      <c r="M187" s="31">
        <v>3660</v>
      </c>
      <c r="N187" s="31"/>
      <c r="O187" s="31">
        <v>1031.3599999999999</v>
      </c>
      <c r="P187" s="31"/>
      <c r="Q187" s="28">
        <v>4635.75</v>
      </c>
      <c r="R187" s="28"/>
      <c r="S187" s="9">
        <v>2900.29</v>
      </c>
      <c r="T187" s="11"/>
      <c r="U187" s="11"/>
      <c r="V187" s="11"/>
      <c r="W187" s="8">
        <v>3512.62</v>
      </c>
      <c r="X187" s="11"/>
      <c r="Y187" s="11">
        <v>4000</v>
      </c>
      <c r="AA187" s="11">
        <v>4000</v>
      </c>
      <c r="AC187" s="31">
        <f>AVERAGE(K187:S187)</f>
        <v>2873.0800000000004</v>
      </c>
      <c r="AD187" s="31">
        <f>MAX(K187:S187)</f>
        <v>4635.75</v>
      </c>
      <c r="AE187" s="31">
        <f>MIN(K187:S187)</f>
        <v>1031.3599999999999</v>
      </c>
      <c r="AF187" s="1"/>
      <c r="AG187" s="31">
        <f>+W187-AC187</f>
        <v>639.53999999999951</v>
      </c>
      <c r="AH187" s="31">
        <f>+W187-AD187</f>
        <v>-1123.1300000000001</v>
      </c>
      <c r="AI187" s="31">
        <f>+W187-AE187</f>
        <v>2481.2600000000002</v>
      </c>
      <c r="AJ187" s="1"/>
      <c r="AK187" s="31">
        <f>+Y187-AC187</f>
        <v>1126.9199999999996</v>
      </c>
      <c r="AL187" s="31">
        <f>+Y187-AD187</f>
        <v>-635.75</v>
      </c>
      <c r="AM187" s="31">
        <f>+Y187-AE187</f>
        <v>2968.6400000000003</v>
      </c>
    </row>
    <row r="188" spans="1:39" s="1" customFormat="1" ht="12" customHeight="1" thickBot="1" x14ac:dyDescent="0.25">
      <c r="A188" s="26"/>
      <c r="B188" s="26"/>
      <c r="C188" s="26"/>
      <c r="D188" s="26"/>
      <c r="E188" s="26"/>
      <c r="F188" s="26"/>
      <c r="G188" s="26" t="s">
        <v>197</v>
      </c>
      <c r="H188" s="28"/>
      <c r="I188" s="33"/>
      <c r="J188" s="28"/>
      <c r="K188" s="33"/>
      <c r="L188" s="28"/>
      <c r="M188" s="33"/>
      <c r="N188" s="28"/>
      <c r="O188" s="33"/>
      <c r="P188" s="33"/>
      <c r="Q188" s="33">
        <v>0</v>
      </c>
      <c r="R188" s="33"/>
      <c r="S188" s="14">
        <v>10459.09</v>
      </c>
      <c r="T188" s="11"/>
      <c r="U188" s="11"/>
      <c r="V188" s="9"/>
      <c r="W188" s="13">
        <v>6357.05</v>
      </c>
      <c r="X188" s="9"/>
      <c r="Y188" s="14">
        <v>14590</v>
      </c>
      <c r="AA188" s="14">
        <f>6.88*AA185/100</f>
        <v>15025.988799999999</v>
      </c>
      <c r="AC188" s="33">
        <f>AVERAGE(K188:S188)</f>
        <v>5229.5450000000001</v>
      </c>
      <c r="AD188" s="33">
        <f>MAX(K188:S188)</f>
        <v>10459.09</v>
      </c>
      <c r="AE188" s="33">
        <f>MIN(K188:S188)</f>
        <v>0</v>
      </c>
      <c r="AG188" s="33">
        <f>+W188-AC188</f>
        <v>1127.5050000000001</v>
      </c>
      <c r="AH188" s="33">
        <f>+W188-AD188</f>
        <v>-4102.04</v>
      </c>
      <c r="AI188" s="33">
        <f>+W188-AE188</f>
        <v>6357.05</v>
      </c>
      <c r="AK188" s="33">
        <f>+Y188-AC188</f>
        <v>9360.4549999999999</v>
      </c>
      <c r="AL188" s="33">
        <f>+Y188-AD188</f>
        <v>4130.91</v>
      </c>
      <c r="AM188" s="33">
        <f>+Y188-AE188</f>
        <v>14590</v>
      </c>
    </row>
    <row r="189" spans="1:39" s="1" customFormat="1" ht="11.25" customHeight="1" x14ac:dyDescent="0.2">
      <c r="A189" s="26"/>
      <c r="B189" s="26"/>
      <c r="C189" s="26"/>
      <c r="D189" s="26"/>
      <c r="E189" s="26"/>
      <c r="F189" s="26" t="s">
        <v>198</v>
      </c>
      <c r="G189" s="26"/>
      <c r="H189" s="28"/>
      <c r="I189" s="28">
        <f>SUM(I185:I188)</f>
        <v>311739</v>
      </c>
      <c r="J189" s="28"/>
      <c r="K189" s="28">
        <f>SUM(K185:K188)</f>
        <v>311098</v>
      </c>
      <c r="L189" s="28"/>
      <c r="M189" s="28">
        <f>SUM(M185:M188)</f>
        <v>327254</v>
      </c>
      <c r="N189" s="28"/>
      <c r="O189" s="28">
        <f>SUM(O185:O188)</f>
        <v>213850.8</v>
      </c>
      <c r="P189" s="28"/>
      <c r="Q189" s="28">
        <f>SUM(Q185:Q188)</f>
        <v>226962.05000000002</v>
      </c>
      <c r="R189" s="28"/>
      <c r="S189" s="9">
        <f>SUM(S185:S188)</f>
        <v>190468.67</v>
      </c>
      <c r="T189" s="9"/>
      <c r="U189" s="9"/>
      <c r="V189" s="9"/>
      <c r="W189" s="9">
        <f>SUM(W185:W188)</f>
        <v>180627.49</v>
      </c>
      <c r="X189" s="9"/>
      <c r="Y189" s="9">
        <f>SUM(Y185:Y188)</f>
        <v>246852</v>
      </c>
      <c r="AA189" s="9">
        <f>SUM(AA185:AA188)</f>
        <v>257083.07879999999</v>
      </c>
      <c r="AC189" s="28">
        <f>SUM(AC185:AC188)</f>
        <v>257064.43099999995</v>
      </c>
      <c r="AD189" s="28">
        <f>SUM(AD185:AD188)</f>
        <v>338688.84</v>
      </c>
      <c r="AE189" s="28">
        <f>SUM(AE185:AE188)</f>
        <v>178140.65</v>
      </c>
      <c r="AG189" s="28">
        <f>SUM(AG185:AG188)</f>
        <v>-76436.940999999977</v>
      </c>
      <c r="AH189" s="28">
        <f>SUM(AH185:AH188)</f>
        <v>-158061.35</v>
      </c>
      <c r="AI189" s="28">
        <f>SUM(AI185:AI188)</f>
        <v>2486.8399999999847</v>
      </c>
      <c r="AK189" s="28">
        <f>SUM(AK185:AK188)</f>
        <v>-10212.430999999966</v>
      </c>
      <c r="AL189" s="28">
        <f>SUM(AL185:AL188)</f>
        <v>-91836.84</v>
      </c>
      <c r="AM189" s="28">
        <f>SUM(AM185:AM188)</f>
        <v>68711.349999999991</v>
      </c>
    </row>
    <row r="190" spans="1:39" s="1" customFormat="1" ht="11.25" customHeight="1" x14ac:dyDescent="0.2">
      <c r="A190" s="26"/>
      <c r="B190" s="26"/>
      <c r="C190" s="26"/>
      <c r="D190" s="26"/>
      <c r="E190" s="26"/>
      <c r="F190" s="26" t="s">
        <v>199</v>
      </c>
      <c r="G190" s="26"/>
      <c r="H190" s="28"/>
      <c r="I190" s="28"/>
      <c r="J190" s="28"/>
      <c r="K190" s="28"/>
      <c r="L190" s="28"/>
      <c r="M190" s="28"/>
      <c r="N190" s="28"/>
      <c r="O190" s="28"/>
      <c r="P190" s="28"/>
      <c r="Q190" s="28"/>
      <c r="R190" s="28"/>
      <c r="S190" s="9"/>
      <c r="T190" s="9"/>
      <c r="U190" s="9"/>
      <c r="V190" s="9"/>
      <c r="W190" s="9"/>
      <c r="X190" s="9"/>
      <c r="Y190" s="9"/>
      <c r="AA190" s="9"/>
      <c r="AC190" s="28"/>
      <c r="AD190" s="28"/>
      <c r="AE190" s="28"/>
      <c r="AG190" s="28"/>
      <c r="AH190" s="28"/>
      <c r="AI190" s="28"/>
      <c r="AK190" s="28"/>
      <c r="AL190" s="28"/>
      <c r="AM190" s="28"/>
    </row>
    <row r="191" spans="1:39" s="1" customFormat="1" ht="11.25" customHeight="1" x14ac:dyDescent="0.2">
      <c r="A191" s="26"/>
      <c r="B191" s="26"/>
      <c r="C191" s="26"/>
      <c r="D191" s="26"/>
      <c r="E191" s="26"/>
      <c r="F191" s="26"/>
      <c r="G191" s="26" t="s">
        <v>200</v>
      </c>
      <c r="H191" s="28"/>
      <c r="I191" s="28">
        <v>22841</v>
      </c>
      <c r="J191" s="28"/>
      <c r="K191" s="28">
        <v>21951</v>
      </c>
      <c r="L191" s="28"/>
      <c r="M191" s="28">
        <v>19097</v>
      </c>
      <c r="N191" s="28"/>
      <c r="O191" s="28">
        <f>14128.44+5653.64</f>
        <v>19782.080000000002</v>
      </c>
      <c r="P191" s="28"/>
      <c r="Q191" s="28">
        <v>20010.419999999998</v>
      </c>
      <c r="R191" s="28"/>
      <c r="S191" s="9">
        <v>23235.55</v>
      </c>
      <c r="T191" s="9"/>
      <c r="U191" s="9"/>
      <c r="V191" s="9"/>
      <c r="W191" s="8">
        <v>20196.84</v>
      </c>
      <c r="X191" s="9"/>
      <c r="Y191" s="9">
        <v>24000</v>
      </c>
      <c r="AA191" s="9">
        <v>24000</v>
      </c>
      <c r="AC191" s="28">
        <f>AVERAGE(K191:S191)</f>
        <v>20815.21</v>
      </c>
      <c r="AD191" s="28">
        <f>MAX(K191:S191)</f>
        <v>23235.55</v>
      </c>
      <c r="AE191" s="28">
        <f>MIN(K191:S191)</f>
        <v>19097</v>
      </c>
      <c r="AG191" s="28">
        <f>+W191-AC191</f>
        <v>-618.36999999999898</v>
      </c>
      <c r="AH191" s="28">
        <f>+W191-AD191</f>
        <v>-3038.7099999999991</v>
      </c>
      <c r="AI191" s="28">
        <f>+W191-AE191</f>
        <v>1099.8400000000001</v>
      </c>
      <c r="AK191" s="28">
        <f>+Y191-AC191</f>
        <v>3184.7900000000009</v>
      </c>
      <c r="AL191" s="28">
        <f>+Y191-AD191</f>
        <v>764.45000000000073</v>
      </c>
      <c r="AM191" s="28">
        <f>+Y191-AE191</f>
        <v>4903</v>
      </c>
    </row>
    <row r="192" spans="1:39" s="1" customFormat="1" ht="11.25" customHeight="1" x14ac:dyDescent="0.2">
      <c r="A192" s="26"/>
      <c r="B192" s="26"/>
      <c r="C192" s="26"/>
      <c r="D192" s="26"/>
      <c r="E192" s="26"/>
      <c r="F192" s="26"/>
      <c r="G192" s="26" t="s">
        <v>201</v>
      </c>
      <c r="H192" s="28"/>
      <c r="I192" s="28"/>
      <c r="J192" s="28"/>
      <c r="K192" s="28"/>
      <c r="L192" s="28"/>
      <c r="M192" s="28"/>
      <c r="N192" s="28"/>
      <c r="O192" s="28"/>
      <c r="P192" s="28"/>
      <c r="Q192" s="28">
        <v>2550</v>
      </c>
      <c r="R192" s="28"/>
      <c r="S192" s="9">
        <v>2400</v>
      </c>
      <c r="T192" s="9"/>
      <c r="U192" s="9"/>
      <c r="V192" s="9"/>
      <c r="W192" s="8">
        <v>2250</v>
      </c>
      <c r="X192" s="9"/>
      <c r="Y192" s="9">
        <v>2600</v>
      </c>
      <c r="AA192" s="9">
        <v>2600</v>
      </c>
      <c r="AC192" s="28">
        <f>AVERAGE(K192:S192)</f>
        <v>2475</v>
      </c>
      <c r="AD192" s="28">
        <f>MAX(K192:S192)</f>
        <v>2550</v>
      </c>
      <c r="AE192" s="28">
        <f>MIN(K192:S192)</f>
        <v>2400</v>
      </c>
      <c r="AG192" s="28">
        <f>+W192-AC192</f>
        <v>-225</v>
      </c>
      <c r="AH192" s="28">
        <f>+W192-AD192</f>
        <v>-300</v>
      </c>
      <c r="AI192" s="28">
        <f>+W192-AE192</f>
        <v>-150</v>
      </c>
      <c r="AK192" s="28">
        <f>+Y192-AC192</f>
        <v>125</v>
      </c>
      <c r="AL192" s="28">
        <f>+Y192-AD192</f>
        <v>50</v>
      </c>
      <c r="AM192" s="28">
        <f>+Y192-AE192</f>
        <v>200</v>
      </c>
    </row>
    <row r="193" spans="1:39" s="1" customFormat="1" ht="11.25" customHeight="1" x14ac:dyDescent="0.2">
      <c r="A193" s="26"/>
      <c r="B193" s="26"/>
      <c r="C193" s="26"/>
      <c r="D193" s="26"/>
      <c r="E193" s="26"/>
      <c r="F193" s="26"/>
      <c r="G193" s="26" t="s">
        <v>202</v>
      </c>
      <c r="H193" s="28"/>
      <c r="I193" s="28"/>
      <c r="J193" s="28"/>
      <c r="K193" s="28"/>
      <c r="L193" s="28"/>
      <c r="M193" s="28"/>
      <c r="N193" s="28"/>
      <c r="O193" s="28"/>
      <c r="P193" s="28"/>
      <c r="Q193" s="28">
        <v>199</v>
      </c>
      <c r="R193" s="28"/>
      <c r="S193" s="9">
        <v>205.5</v>
      </c>
      <c r="T193" s="9"/>
      <c r="U193" s="9"/>
      <c r="V193" s="9"/>
      <c r="W193" s="8">
        <v>211.5</v>
      </c>
      <c r="X193" s="9"/>
      <c r="Y193" s="9">
        <v>500</v>
      </c>
      <c r="AA193" s="9">
        <v>500</v>
      </c>
      <c r="AC193" s="28">
        <f>AVERAGE(K193:S193)</f>
        <v>202.25</v>
      </c>
      <c r="AD193" s="28">
        <f>MAX(K193:S193)</f>
        <v>205.5</v>
      </c>
      <c r="AE193" s="28">
        <f>MIN(K193:S193)</f>
        <v>199</v>
      </c>
      <c r="AG193" s="28">
        <f>+W193-AC193</f>
        <v>9.25</v>
      </c>
      <c r="AH193" s="28">
        <f>+W193-AD193</f>
        <v>6</v>
      </c>
      <c r="AI193" s="28">
        <f>+W193-AE193</f>
        <v>12.5</v>
      </c>
      <c r="AK193" s="28">
        <f>+Y193-AC193</f>
        <v>297.75</v>
      </c>
      <c r="AL193" s="28">
        <f>+Y193-AD193</f>
        <v>294.5</v>
      </c>
      <c r="AM193" s="28">
        <f>+Y193-AE193</f>
        <v>301</v>
      </c>
    </row>
    <row r="194" spans="1:39" s="1" customFormat="1" ht="12" customHeight="1" thickBot="1" x14ac:dyDescent="0.25">
      <c r="A194" s="26"/>
      <c r="B194" s="26"/>
      <c r="C194" s="26"/>
      <c r="D194" s="26"/>
      <c r="E194" s="26"/>
      <c r="F194" s="26"/>
      <c r="G194" s="26" t="s">
        <v>203</v>
      </c>
      <c r="H194" s="28"/>
      <c r="I194" s="33">
        <v>4037</v>
      </c>
      <c r="J194" s="28"/>
      <c r="K194" s="33">
        <v>7066</v>
      </c>
      <c r="L194" s="28"/>
      <c r="M194" s="33">
        <v>6566</v>
      </c>
      <c r="N194" s="28"/>
      <c r="O194" s="33">
        <v>10838.78</v>
      </c>
      <c r="P194" s="33"/>
      <c r="Q194" s="33">
        <v>2972.69</v>
      </c>
      <c r="R194" s="33"/>
      <c r="S194" s="14">
        <v>5179.91</v>
      </c>
      <c r="T194" s="11"/>
      <c r="U194" s="11"/>
      <c r="V194" s="9"/>
      <c r="W194" s="13">
        <v>1293.1500000000001</v>
      </c>
      <c r="X194" s="9"/>
      <c r="Y194" s="14">
        <v>6000</v>
      </c>
      <c r="AA194" s="14">
        <v>6000</v>
      </c>
      <c r="AC194" s="33">
        <f>AVERAGE(K194:S194)</f>
        <v>6524.6759999999995</v>
      </c>
      <c r="AD194" s="33">
        <f>MAX(K194:S194)</f>
        <v>10838.78</v>
      </c>
      <c r="AE194" s="33">
        <f>MIN(K194:S194)</f>
        <v>2972.69</v>
      </c>
      <c r="AG194" s="33">
        <f>+W194-AC194</f>
        <v>-5231.5259999999998</v>
      </c>
      <c r="AH194" s="33">
        <f>+W194-AD194</f>
        <v>-9545.630000000001</v>
      </c>
      <c r="AI194" s="33">
        <f>+W194-AE194</f>
        <v>-1679.54</v>
      </c>
      <c r="AK194" s="33">
        <f>+Y194-AC194</f>
        <v>-524.67599999999948</v>
      </c>
      <c r="AL194" s="33">
        <f>+Y194-AD194</f>
        <v>-4838.7800000000007</v>
      </c>
      <c r="AM194" s="33">
        <f>+Y194-AE194</f>
        <v>3027.31</v>
      </c>
    </row>
    <row r="195" spans="1:39" s="1" customFormat="1" ht="11.25" customHeight="1" x14ac:dyDescent="0.2">
      <c r="A195" s="26"/>
      <c r="B195" s="26"/>
      <c r="C195" s="26"/>
      <c r="D195" s="26"/>
      <c r="E195" s="26"/>
      <c r="F195" s="26" t="s">
        <v>204</v>
      </c>
      <c r="G195" s="26"/>
      <c r="H195" s="28"/>
      <c r="I195" s="28">
        <f>ROUND(SUM(I190:I194),5)</f>
        <v>26878</v>
      </c>
      <c r="J195" s="28"/>
      <c r="K195" s="28">
        <f>ROUND(SUM(K190:K194),5)</f>
        <v>29017</v>
      </c>
      <c r="L195" s="28"/>
      <c r="M195" s="28">
        <f>ROUND(SUM(M190:M194),5)</f>
        <v>25663</v>
      </c>
      <c r="N195" s="28"/>
      <c r="O195" s="28">
        <f>ROUND(SUM(O190:O194),5)</f>
        <v>30620.86</v>
      </c>
      <c r="P195" s="28"/>
      <c r="Q195" s="28">
        <f>ROUND(SUM(Q190:Q194),5)</f>
        <v>25732.11</v>
      </c>
      <c r="R195" s="28"/>
      <c r="S195" s="9">
        <f>ROUND(SUM(S190:S194),5)</f>
        <v>31020.959999999999</v>
      </c>
      <c r="T195" s="9"/>
      <c r="U195" s="9"/>
      <c r="V195" s="9"/>
      <c r="W195" s="9">
        <f>ROUND(SUM(W190:W194),5)</f>
        <v>23951.49</v>
      </c>
      <c r="X195" s="9"/>
      <c r="Y195" s="9">
        <f>ROUND(SUM(Y190:Y194),5)</f>
        <v>33100</v>
      </c>
      <c r="AA195" s="9">
        <f>ROUND(SUM(AA190:AA194),5)</f>
        <v>33100</v>
      </c>
      <c r="AC195" s="28">
        <f t="shared" ref="AC195:AE195" si="103">ROUND(SUM(AC190:AC194),5)</f>
        <v>30017.135999999999</v>
      </c>
      <c r="AD195" s="28">
        <f t="shared" si="103"/>
        <v>36829.83</v>
      </c>
      <c r="AE195" s="28">
        <f t="shared" si="103"/>
        <v>24668.69</v>
      </c>
      <c r="AG195" s="28">
        <f t="shared" ref="AG195:AI195" si="104">ROUND(SUM(AG190:AG194),5)</f>
        <v>-6065.6459999999997</v>
      </c>
      <c r="AH195" s="28">
        <f t="shared" si="104"/>
        <v>-12878.34</v>
      </c>
      <c r="AI195" s="28">
        <f t="shared" si="104"/>
        <v>-717.2</v>
      </c>
      <c r="AK195" s="28">
        <f t="shared" ref="AK195:AM195" si="105">ROUND(SUM(AK190:AK194),5)</f>
        <v>3082.864</v>
      </c>
      <c r="AL195" s="28">
        <f t="shared" si="105"/>
        <v>-3729.83</v>
      </c>
      <c r="AM195" s="28">
        <f t="shared" si="105"/>
        <v>8431.31</v>
      </c>
    </row>
    <row r="196" spans="1:39" s="1" customFormat="1" ht="11.25" customHeight="1" x14ac:dyDescent="0.2">
      <c r="A196" s="26"/>
      <c r="B196" s="26"/>
      <c r="C196" s="26"/>
      <c r="D196" s="26"/>
      <c r="E196" s="26"/>
      <c r="F196" s="26" t="s">
        <v>205</v>
      </c>
      <c r="G196" s="26"/>
      <c r="H196" s="28"/>
      <c r="I196" s="28"/>
      <c r="J196" s="28"/>
      <c r="K196" s="28"/>
      <c r="L196" s="28"/>
      <c r="M196" s="28"/>
      <c r="N196" s="28"/>
      <c r="O196" s="28"/>
      <c r="P196" s="28"/>
      <c r="Q196" s="28"/>
      <c r="R196" s="28"/>
      <c r="S196" s="9"/>
      <c r="T196" s="9"/>
      <c r="U196" s="9"/>
      <c r="V196" s="9"/>
      <c r="W196" s="9"/>
      <c r="X196" s="9"/>
      <c r="Y196" s="9"/>
      <c r="AA196" s="9"/>
      <c r="AC196" s="28"/>
      <c r="AD196" s="28"/>
      <c r="AE196" s="28"/>
      <c r="AG196" s="28"/>
      <c r="AH196" s="28"/>
      <c r="AI196" s="28"/>
      <c r="AK196" s="28"/>
      <c r="AL196" s="28"/>
      <c r="AM196" s="28"/>
    </row>
    <row r="197" spans="1:39" s="1" customFormat="1" ht="11.25" customHeight="1" x14ac:dyDescent="0.2">
      <c r="A197" s="26"/>
      <c r="B197" s="26"/>
      <c r="C197" s="26"/>
      <c r="D197" s="26"/>
      <c r="E197" s="26"/>
      <c r="F197" s="26"/>
      <c r="G197" s="26" t="s">
        <v>206</v>
      </c>
      <c r="H197" s="28"/>
      <c r="I197" s="28">
        <v>36523</v>
      </c>
      <c r="J197" s="28"/>
      <c r="K197" s="28">
        <v>26092</v>
      </c>
      <c r="L197" s="28"/>
      <c r="M197" s="28">
        <v>18806</v>
      </c>
      <c r="N197" s="28"/>
      <c r="O197" s="28">
        <v>25293.56</v>
      </c>
      <c r="P197" s="28"/>
      <c r="Q197" s="28">
        <v>27467.61</v>
      </c>
      <c r="R197" s="28"/>
      <c r="S197" s="9">
        <v>23476.09</v>
      </c>
      <c r="T197" s="9"/>
      <c r="U197" s="9"/>
      <c r="V197" s="9"/>
      <c r="W197" s="8">
        <v>20764.939999999999</v>
      </c>
      <c r="X197" s="9"/>
      <c r="Y197" s="9">
        <v>26000</v>
      </c>
      <c r="AA197" s="9">
        <v>25000</v>
      </c>
      <c r="AC197" s="28">
        <f>AVERAGE(K197:S197)</f>
        <v>24227.052</v>
      </c>
      <c r="AD197" s="28">
        <f>MAX(K197:S197)</f>
        <v>27467.61</v>
      </c>
      <c r="AE197" s="28">
        <f>MIN(K197:S197)</f>
        <v>18806</v>
      </c>
      <c r="AG197" s="28">
        <f>+W197-AC197</f>
        <v>-3462.112000000001</v>
      </c>
      <c r="AH197" s="28">
        <f>+W197-AD197</f>
        <v>-6702.6700000000019</v>
      </c>
      <c r="AI197" s="28">
        <f>+W197-AE197</f>
        <v>1958.9399999999987</v>
      </c>
      <c r="AK197" s="28">
        <f>+Y197-AC197</f>
        <v>1772.9480000000003</v>
      </c>
      <c r="AL197" s="28">
        <f>+Y197-AD197</f>
        <v>-1467.6100000000006</v>
      </c>
      <c r="AM197" s="28">
        <f>+Y197-AE197</f>
        <v>7194</v>
      </c>
    </row>
    <row r="198" spans="1:39" s="1" customFormat="1" ht="11.25" customHeight="1" x14ac:dyDescent="0.2">
      <c r="A198" s="26"/>
      <c r="B198" s="26"/>
      <c r="C198" s="26"/>
      <c r="D198" s="26"/>
      <c r="E198" s="26"/>
      <c r="F198" s="26"/>
      <c r="G198" s="26" t="s">
        <v>207</v>
      </c>
      <c r="H198" s="28"/>
      <c r="I198" s="28"/>
      <c r="J198" s="28"/>
      <c r="K198" s="28"/>
      <c r="L198" s="28"/>
      <c r="M198" s="28"/>
      <c r="N198" s="28"/>
      <c r="O198" s="28"/>
      <c r="P198" s="28"/>
      <c r="Q198" s="28">
        <v>25</v>
      </c>
      <c r="R198" s="28"/>
      <c r="S198" s="9">
        <v>127.53</v>
      </c>
      <c r="T198" s="9"/>
      <c r="U198" s="9"/>
      <c r="V198" s="9"/>
      <c r="W198" s="9"/>
      <c r="X198" s="9"/>
      <c r="Y198" s="9"/>
      <c r="AA198" s="9"/>
      <c r="AC198" s="28">
        <f>AVERAGE(K198:S198)</f>
        <v>76.265000000000001</v>
      </c>
      <c r="AD198" s="28"/>
      <c r="AE198" s="28"/>
      <c r="AG198" s="28"/>
      <c r="AH198" s="28"/>
      <c r="AI198" s="28"/>
      <c r="AK198" s="28"/>
      <c r="AL198" s="28"/>
      <c r="AM198" s="28"/>
    </row>
    <row r="199" spans="1:39" s="1" customFormat="1" ht="12" customHeight="1" thickBot="1" x14ac:dyDescent="0.25">
      <c r="A199" s="26"/>
      <c r="B199" s="26"/>
      <c r="C199" s="26"/>
      <c r="D199" s="26"/>
      <c r="E199" s="26"/>
      <c r="F199" s="26"/>
      <c r="G199" s="26" t="s">
        <v>208</v>
      </c>
      <c r="H199" s="28"/>
      <c r="I199" s="33">
        <v>9498</v>
      </c>
      <c r="J199" s="28"/>
      <c r="K199" s="33">
        <v>15591</v>
      </c>
      <c r="L199" s="28"/>
      <c r="M199" s="33">
        <v>11395</v>
      </c>
      <c r="N199" s="28"/>
      <c r="O199" s="33">
        <v>11954.8</v>
      </c>
      <c r="P199" s="33"/>
      <c r="Q199" s="33">
        <v>30282.48</v>
      </c>
      <c r="R199" s="33"/>
      <c r="S199" s="14">
        <v>20791.939999999999</v>
      </c>
      <c r="T199" s="11"/>
      <c r="U199" s="11"/>
      <c r="V199" s="9"/>
      <c r="W199" s="13">
        <v>25413.5</v>
      </c>
      <c r="X199" s="9"/>
      <c r="Y199" s="14">
        <v>15000</v>
      </c>
      <c r="AA199" s="14">
        <v>15000</v>
      </c>
      <c r="AC199" s="33">
        <f>AVERAGE(K199:S199)</f>
        <v>18003.044000000002</v>
      </c>
      <c r="AD199" s="33">
        <f>MAX(K199:S199)</f>
        <v>30282.48</v>
      </c>
      <c r="AE199" s="33">
        <f>MIN(K199:S199)</f>
        <v>11395</v>
      </c>
      <c r="AG199" s="33">
        <f>+W199-AC199</f>
        <v>7410.4559999999983</v>
      </c>
      <c r="AH199" s="33">
        <f>+W199-AD199</f>
        <v>-4868.9799999999996</v>
      </c>
      <c r="AI199" s="33">
        <f>+W199-AE199</f>
        <v>14018.5</v>
      </c>
      <c r="AK199" s="33">
        <f>+Y199-AC199</f>
        <v>-3003.0440000000017</v>
      </c>
      <c r="AL199" s="33">
        <f>+Y199-AD199</f>
        <v>-15282.48</v>
      </c>
      <c r="AM199" s="33">
        <f>+Y199-AE199</f>
        <v>3605</v>
      </c>
    </row>
    <row r="200" spans="1:39" s="1" customFormat="1" ht="11.25" customHeight="1" x14ac:dyDescent="0.2">
      <c r="A200" s="26"/>
      <c r="B200" s="26"/>
      <c r="C200" s="26"/>
      <c r="D200" s="26"/>
      <c r="E200" s="26"/>
      <c r="F200" s="26" t="s">
        <v>209</v>
      </c>
      <c r="G200" s="26"/>
      <c r="H200" s="28"/>
      <c r="I200" s="28">
        <f>ROUND(SUM(I196:I199),5)</f>
        <v>46021</v>
      </c>
      <c r="J200" s="28"/>
      <c r="K200" s="28">
        <f>ROUND(SUM(K196:K199),5)</f>
        <v>41683</v>
      </c>
      <c r="L200" s="28"/>
      <c r="M200" s="28">
        <f>ROUND(SUM(M196:M199),5)</f>
        <v>30201</v>
      </c>
      <c r="N200" s="28"/>
      <c r="O200" s="28">
        <f>ROUND(SUM(O196:O199),5)</f>
        <v>37248.36</v>
      </c>
      <c r="P200" s="28"/>
      <c r="Q200" s="28">
        <f>ROUND(SUM(Q196:Q199),5)</f>
        <v>57775.09</v>
      </c>
      <c r="R200" s="28"/>
      <c r="S200" s="9">
        <f>ROUND(SUM(S196:S199),5)</f>
        <v>44395.56</v>
      </c>
      <c r="T200" s="9"/>
      <c r="U200" s="9"/>
      <c r="V200" s="9"/>
      <c r="W200" s="9">
        <f>ROUND(SUM(W196:W199),5)</f>
        <v>46178.44</v>
      </c>
      <c r="X200" s="9"/>
      <c r="Y200" s="9">
        <f>ROUND(SUM(Y196:Y199),5)</f>
        <v>41000</v>
      </c>
      <c r="AA200" s="9">
        <f>ROUND(SUM(AA196:AA199),5)</f>
        <v>40000</v>
      </c>
      <c r="AC200" s="28">
        <f t="shared" ref="AC200:AE200" si="106">ROUND(SUM(AC196:AC199),5)</f>
        <v>42306.360999999997</v>
      </c>
      <c r="AD200" s="28">
        <f t="shared" si="106"/>
        <v>57750.09</v>
      </c>
      <c r="AE200" s="28">
        <f t="shared" si="106"/>
        <v>30201</v>
      </c>
      <c r="AG200" s="28">
        <f t="shared" ref="AG200:AI200" si="107">ROUND(SUM(AG196:AG199),5)</f>
        <v>3948.3440000000001</v>
      </c>
      <c r="AH200" s="28">
        <f t="shared" si="107"/>
        <v>-11571.65</v>
      </c>
      <c r="AI200" s="28">
        <f t="shared" si="107"/>
        <v>15977.44</v>
      </c>
      <c r="AK200" s="28">
        <f t="shared" ref="AK200:AM200" si="108">ROUND(SUM(AK196:AK199),5)</f>
        <v>-1230.096</v>
      </c>
      <c r="AL200" s="28">
        <f t="shared" si="108"/>
        <v>-16750.09</v>
      </c>
      <c r="AM200" s="28">
        <f t="shared" si="108"/>
        <v>10799</v>
      </c>
    </row>
    <row r="201" spans="1:39" s="1" customFormat="1" ht="11.25" customHeight="1" x14ac:dyDescent="0.2">
      <c r="A201" s="26"/>
      <c r="B201" s="26"/>
      <c r="C201" s="26"/>
      <c r="D201" s="26"/>
      <c r="E201" s="26"/>
      <c r="F201" s="26" t="s">
        <v>210</v>
      </c>
      <c r="G201" s="26"/>
      <c r="H201" s="28"/>
      <c r="I201" s="28"/>
      <c r="J201" s="28"/>
      <c r="K201" s="28"/>
      <c r="L201" s="28"/>
      <c r="M201" s="28"/>
      <c r="N201" s="28"/>
      <c r="O201" s="28"/>
      <c r="P201" s="28"/>
      <c r="Q201" s="28"/>
      <c r="R201" s="28"/>
      <c r="S201" s="9"/>
      <c r="T201" s="9"/>
      <c r="U201" s="9"/>
      <c r="V201" s="9"/>
      <c r="W201" s="9"/>
      <c r="X201" s="9"/>
      <c r="Y201" s="9"/>
      <c r="AA201" s="9"/>
      <c r="AC201" s="28"/>
      <c r="AD201" s="28"/>
      <c r="AE201" s="28"/>
      <c r="AG201" s="28"/>
      <c r="AH201" s="28"/>
      <c r="AI201" s="28"/>
      <c r="AK201" s="28"/>
      <c r="AL201" s="28"/>
      <c r="AM201" s="28"/>
    </row>
    <row r="202" spans="1:39" s="1" customFormat="1" ht="11.25" customHeight="1" x14ac:dyDescent="0.2">
      <c r="A202" s="26"/>
      <c r="B202" s="26"/>
      <c r="C202" s="26"/>
      <c r="D202" s="26"/>
      <c r="E202" s="26"/>
      <c r="F202" s="26"/>
      <c r="G202" s="26" t="s">
        <v>211</v>
      </c>
      <c r="H202" s="28"/>
      <c r="I202" s="28">
        <v>1338</v>
      </c>
      <c r="J202" s="28"/>
      <c r="K202" s="28">
        <v>2219</v>
      </c>
      <c r="L202" s="28"/>
      <c r="M202" s="28">
        <v>905</v>
      </c>
      <c r="N202" s="28"/>
      <c r="O202" s="28">
        <v>1202.6300000000001</v>
      </c>
      <c r="P202" s="28"/>
      <c r="Q202" s="28">
        <v>1150.3399999999999</v>
      </c>
      <c r="R202" s="28"/>
      <c r="S202" s="9">
        <v>1613.67</v>
      </c>
      <c r="T202" s="9"/>
      <c r="U202" s="9"/>
      <c r="V202" s="9"/>
      <c r="W202" s="8">
        <v>318.75</v>
      </c>
      <c r="X202" s="9"/>
      <c r="Y202" s="9">
        <v>1500</v>
      </c>
      <c r="AA202" s="9"/>
      <c r="AC202" s="28">
        <f t="shared" ref="AC202:AC211" si="109">AVERAGE(K202:S202)</f>
        <v>1418.1280000000002</v>
      </c>
      <c r="AD202" s="28">
        <f t="shared" ref="AD202:AD211" si="110">MAX(K202:S202)</f>
        <v>2219</v>
      </c>
      <c r="AE202" s="28">
        <f t="shared" ref="AE202:AE211" si="111">MIN(K202:S202)</f>
        <v>905</v>
      </c>
      <c r="AG202" s="28">
        <f t="shared" ref="AG202:AG211" si="112">+W202-AC202</f>
        <v>-1099.3780000000002</v>
      </c>
      <c r="AH202" s="28">
        <f t="shared" ref="AH202:AH211" si="113">+W202-AD202</f>
        <v>-1900.25</v>
      </c>
      <c r="AI202" s="28">
        <f t="shared" ref="AI202:AI211" si="114">+W202-AE202</f>
        <v>-586.25</v>
      </c>
      <c r="AK202" s="28">
        <f t="shared" ref="AK202:AK211" si="115">+Y202-AC202</f>
        <v>81.871999999999844</v>
      </c>
      <c r="AL202" s="28">
        <f t="shared" ref="AL202:AL211" si="116">+Y202-AD202</f>
        <v>-719</v>
      </c>
      <c r="AM202" s="28">
        <f t="shared" ref="AM202:AM211" si="117">+Y202-AE202</f>
        <v>595</v>
      </c>
    </row>
    <row r="203" spans="1:39" s="1" customFormat="1" ht="11.25" customHeight="1" x14ac:dyDescent="0.2">
      <c r="A203" s="26"/>
      <c r="B203" s="26"/>
      <c r="C203" s="26"/>
      <c r="D203" s="26"/>
      <c r="E203" s="26"/>
      <c r="F203" s="26"/>
      <c r="G203" s="26" t="s">
        <v>212</v>
      </c>
      <c r="H203" s="28"/>
      <c r="I203" s="28">
        <v>5044</v>
      </c>
      <c r="J203" s="28"/>
      <c r="K203" s="28">
        <v>4132</v>
      </c>
      <c r="L203" s="28"/>
      <c r="M203" s="28">
        <v>6603</v>
      </c>
      <c r="N203" s="28"/>
      <c r="O203" s="28">
        <v>10155.879999999999</v>
      </c>
      <c r="P203" s="28"/>
      <c r="Q203" s="28">
        <v>30728.33</v>
      </c>
      <c r="R203" s="28"/>
      <c r="S203" s="9">
        <v>33531.75</v>
      </c>
      <c r="T203" s="9"/>
      <c r="U203" s="9"/>
      <c r="V203" s="9"/>
      <c r="W203" s="8">
        <v>10233.799999999999</v>
      </c>
      <c r="X203" s="9"/>
      <c r="Y203" s="9">
        <v>17000</v>
      </c>
      <c r="AA203" s="9">
        <v>20000</v>
      </c>
      <c r="AC203" s="28">
        <f t="shared" si="109"/>
        <v>17030.191999999999</v>
      </c>
      <c r="AD203" s="28">
        <f t="shared" si="110"/>
        <v>33531.75</v>
      </c>
      <c r="AE203" s="28">
        <f t="shared" si="111"/>
        <v>4132</v>
      </c>
      <c r="AG203" s="28">
        <f t="shared" si="112"/>
        <v>-6796.3919999999998</v>
      </c>
      <c r="AH203" s="28">
        <f t="shared" si="113"/>
        <v>-23297.95</v>
      </c>
      <c r="AI203" s="28">
        <f t="shared" si="114"/>
        <v>6101.7999999999993</v>
      </c>
      <c r="AK203" s="28">
        <f t="shared" si="115"/>
        <v>-30.191999999999098</v>
      </c>
      <c r="AL203" s="28">
        <f t="shared" si="116"/>
        <v>-16531.75</v>
      </c>
      <c r="AM203" s="28">
        <f t="shared" si="117"/>
        <v>12868</v>
      </c>
    </row>
    <row r="204" spans="1:39" s="1" customFormat="1" ht="11.25" customHeight="1" x14ac:dyDescent="0.2">
      <c r="A204" s="26"/>
      <c r="B204" s="26"/>
      <c r="C204" s="26"/>
      <c r="D204" s="26"/>
      <c r="E204" s="26"/>
      <c r="F204" s="26"/>
      <c r="G204" s="26" t="s">
        <v>213</v>
      </c>
      <c r="H204" s="28"/>
      <c r="I204" s="28"/>
      <c r="J204" s="28"/>
      <c r="K204" s="28"/>
      <c r="L204" s="28"/>
      <c r="M204" s="28"/>
      <c r="N204" s="28"/>
      <c r="O204" s="28"/>
      <c r="P204" s="28"/>
      <c r="Q204" s="28">
        <v>0</v>
      </c>
      <c r="R204" s="28"/>
      <c r="S204" s="9">
        <v>0</v>
      </c>
      <c r="T204" s="9"/>
      <c r="U204" s="9"/>
      <c r="V204" s="9"/>
      <c r="W204" s="8">
        <v>0</v>
      </c>
      <c r="X204" s="9"/>
      <c r="Y204" s="9">
        <v>0</v>
      </c>
      <c r="AA204" s="9"/>
      <c r="AC204" s="28">
        <f t="shared" si="109"/>
        <v>0</v>
      </c>
      <c r="AD204" s="28">
        <f t="shared" si="110"/>
        <v>0</v>
      </c>
      <c r="AE204" s="28">
        <f t="shared" si="111"/>
        <v>0</v>
      </c>
      <c r="AG204" s="28">
        <f t="shared" si="112"/>
        <v>0</v>
      </c>
      <c r="AH204" s="28">
        <f t="shared" si="113"/>
        <v>0</v>
      </c>
      <c r="AI204" s="28">
        <f t="shared" si="114"/>
        <v>0</v>
      </c>
      <c r="AK204" s="28">
        <f t="shared" si="115"/>
        <v>0</v>
      </c>
      <c r="AL204" s="28">
        <f t="shared" si="116"/>
        <v>0</v>
      </c>
      <c r="AM204" s="28">
        <f t="shared" si="117"/>
        <v>0</v>
      </c>
    </row>
    <row r="205" spans="1:39" s="1" customFormat="1" ht="11.25" customHeight="1" x14ac:dyDescent="0.2">
      <c r="A205" s="26"/>
      <c r="B205" s="26"/>
      <c r="C205" s="26"/>
      <c r="D205" s="26"/>
      <c r="E205" s="26"/>
      <c r="F205" s="26"/>
      <c r="G205" s="26" t="s">
        <v>214</v>
      </c>
      <c r="H205" s="28"/>
      <c r="I205" s="28">
        <v>110951</v>
      </c>
      <c r="J205" s="28"/>
      <c r="K205" s="28">
        <v>173915</v>
      </c>
      <c r="L205" s="28"/>
      <c r="M205" s="28">
        <v>174313</v>
      </c>
      <c r="N205" s="28"/>
      <c r="O205" s="28">
        <f>121665.08+14492.4</f>
        <v>136157.48000000001</v>
      </c>
      <c r="P205" s="28"/>
      <c r="Q205" s="28">
        <v>111876.57</v>
      </c>
      <c r="R205" s="28"/>
      <c r="S205" s="9">
        <v>67744.19</v>
      </c>
      <c r="T205" s="9"/>
      <c r="U205" s="9"/>
      <c r="V205" s="9"/>
      <c r="W205" s="8">
        <v>60146.33</v>
      </c>
      <c r="X205" s="9"/>
      <c r="Y205" s="9">
        <v>78737</v>
      </c>
      <c r="AA205" s="9">
        <v>75000</v>
      </c>
      <c r="AC205" s="28">
        <f t="shared" si="109"/>
        <v>132801.24799999999</v>
      </c>
      <c r="AD205" s="28">
        <f t="shared" si="110"/>
        <v>174313</v>
      </c>
      <c r="AE205" s="28">
        <f t="shared" si="111"/>
        <v>67744.19</v>
      </c>
      <c r="AG205" s="28">
        <f t="shared" si="112"/>
        <v>-72654.917999999991</v>
      </c>
      <c r="AH205" s="28">
        <f t="shared" si="113"/>
        <v>-114166.67</v>
      </c>
      <c r="AI205" s="28">
        <f t="shared" si="114"/>
        <v>-7597.8600000000006</v>
      </c>
      <c r="AK205" s="28">
        <f t="shared" si="115"/>
        <v>-54064.247999999992</v>
      </c>
      <c r="AL205" s="28">
        <f t="shared" si="116"/>
        <v>-95576</v>
      </c>
      <c r="AM205" s="28">
        <f t="shared" si="117"/>
        <v>10992.809999999998</v>
      </c>
    </row>
    <row r="206" spans="1:39" s="1" customFormat="1" ht="11.25" customHeight="1" x14ac:dyDescent="0.2">
      <c r="A206" s="26"/>
      <c r="B206" s="26"/>
      <c r="C206" s="26"/>
      <c r="D206" s="26"/>
      <c r="E206" s="26"/>
      <c r="F206" s="26"/>
      <c r="G206" s="26" t="s">
        <v>215</v>
      </c>
      <c r="H206" s="28"/>
      <c r="I206" s="28"/>
      <c r="J206" s="28"/>
      <c r="K206" s="28"/>
      <c r="L206" s="28"/>
      <c r="M206" s="28"/>
      <c r="N206" s="28"/>
      <c r="O206" s="28"/>
      <c r="P206" s="28"/>
      <c r="Q206" s="28">
        <v>937.5</v>
      </c>
      <c r="R206" s="28"/>
      <c r="S206" s="9">
        <v>662.5</v>
      </c>
      <c r="T206" s="9"/>
      <c r="U206" s="9"/>
      <c r="V206" s="9"/>
      <c r="W206" s="8">
        <v>965.5</v>
      </c>
      <c r="X206" s="9"/>
      <c r="Y206" s="9">
        <v>350</v>
      </c>
      <c r="AA206" s="9">
        <v>1000</v>
      </c>
      <c r="AC206" s="28">
        <f t="shared" si="109"/>
        <v>800</v>
      </c>
      <c r="AD206" s="28">
        <f t="shared" si="110"/>
        <v>937.5</v>
      </c>
      <c r="AE206" s="28">
        <f t="shared" si="111"/>
        <v>662.5</v>
      </c>
      <c r="AG206" s="28">
        <f t="shared" si="112"/>
        <v>165.5</v>
      </c>
      <c r="AH206" s="28">
        <f t="shared" si="113"/>
        <v>28</v>
      </c>
      <c r="AI206" s="28">
        <f t="shared" si="114"/>
        <v>303</v>
      </c>
      <c r="AK206" s="28">
        <f t="shared" si="115"/>
        <v>-450</v>
      </c>
      <c r="AL206" s="28">
        <f t="shared" si="116"/>
        <v>-587.5</v>
      </c>
      <c r="AM206" s="28">
        <f t="shared" si="117"/>
        <v>-312.5</v>
      </c>
    </row>
    <row r="207" spans="1:39" s="1" customFormat="1" ht="11.25" customHeight="1" x14ac:dyDescent="0.2">
      <c r="A207" s="26"/>
      <c r="B207" s="26"/>
      <c r="C207" s="26"/>
      <c r="D207" s="26"/>
      <c r="E207" s="26"/>
      <c r="F207" s="26"/>
      <c r="G207" s="26" t="s">
        <v>216</v>
      </c>
      <c r="H207" s="28"/>
      <c r="I207" s="28"/>
      <c r="J207" s="28"/>
      <c r="K207" s="28"/>
      <c r="L207" s="28"/>
      <c r="M207" s="28"/>
      <c r="N207" s="28"/>
      <c r="O207" s="28"/>
      <c r="P207" s="28"/>
      <c r="Q207" s="28">
        <v>4145</v>
      </c>
      <c r="R207" s="28"/>
      <c r="S207" s="9">
        <v>16675.349999999999</v>
      </c>
      <c r="T207" s="9"/>
      <c r="U207" s="9"/>
      <c r="V207" s="9"/>
      <c r="W207" s="8">
        <v>11698.76</v>
      </c>
      <c r="X207" s="9"/>
      <c r="Y207" s="9">
        <v>7500</v>
      </c>
      <c r="AA207" s="9"/>
      <c r="AC207" s="28">
        <f t="shared" si="109"/>
        <v>10410.174999999999</v>
      </c>
      <c r="AD207" s="28">
        <f t="shared" si="110"/>
        <v>16675.349999999999</v>
      </c>
      <c r="AE207" s="28">
        <f t="shared" si="111"/>
        <v>4145</v>
      </c>
      <c r="AG207" s="28">
        <f t="shared" si="112"/>
        <v>1288.5850000000009</v>
      </c>
      <c r="AH207" s="28">
        <f t="shared" si="113"/>
        <v>-4976.5899999999983</v>
      </c>
      <c r="AI207" s="28">
        <f t="shared" si="114"/>
        <v>7553.76</v>
      </c>
      <c r="AK207" s="28">
        <f t="shared" si="115"/>
        <v>-2910.1749999999993</v>
      </c>
      <c r="AL207" s="28">
        <f t="shared" si="116"/>
        <v>-9175.3499999999985</v>
      </c>
      <c r="AM207" s="28">
        <f t="shared" si="117"/>
        <v>3355</v>
      </c>
    </row>
    <row r="208" spans="1:39" s="1" customFormat="1" ht="11.25" customHeight="1" x14ac:dyDescent="0.2">
      <c r="A208" s="26"/>
      <c r="B208" s="26"/>
      <c r="C208" s="26"/>
      <c r="D208" s="26"/>
      <c r="E208" s="26"/>
      <c r="F208" s="26"/>
      <c r="G208" s="26" t="s">
        <v>217</v>
      </c>
      <c r="H208" s="28"/>
      <c r="I208" s="28">
        <v>10618</v>
      </c>
      <c r="J208" s="28"/>
      <c r="K208" s="28">
        <v>6196</v>
      </c>
      <c r="L208" s="28"/>
      <c r="M208" s="28">
        <v>4502</v>
      </c>
      <c r="N208" s="28"/>
      <c r="O208" s="28">
        <v>5520.25</v>
      </c>
      <c r="P208" s="28"/>
      <c r="Q208" s="28">
        <v>8209.2800000000007</v>
      </c>
      <c r="R208" s="28"/>
      <c r="S208" s="9">
        <v>7247.47</v>
      </c>
      <c r="T208" s="9"/>
      <c r="U208" s="9"/>
      <c r="V208" s="9"/>
      <c r="W208" s="8">
        <v>2158.91</v>
      </c>
      <c r="X208" s="9"/>
      <c r="Y208" s="9">
        <v>6000</v>
      </c>
      <c r="AA208" s="9">
        <v>5000</v>
      </c>
      <c r="AC208" s="28">
        <f t="shared" si="109"/>
        <v>6335</v>
      </c>
      <c r="AD208" s="28">
        <f t="shared" si="110"/>
        <v>8209.2800000000007</v>
      </c>
      <c r="AE208" s="28">
        <f t="shared" si="111"/>
        <v>4502</v>
      </c>
      <c r="AG208" s="28">
        <f t="shared" si="112"/>
        <v>-4176.09</v>
      </c>
      <c r="AH208" s="28">
        <f t="shared" si="113"/>
        <v>-6050.3700000000008</v>
      </c>
      <c r="AI208" s="28">
        <f t="shared" si="114"/>
        <v>-2343.09</v>
      </c>
      <c r="AK208" s="28">
        <f t="shared" si="115"/>
        <v>-335</v>
      </c>
      <c r="AL208" s="28">
        <f t="shared" si="116"/>
        <v>-2209.2800000000007</v>
      </c>
      <c r="AM208" s="28">
        <f t="shared" si="117"/>
        <v>1498</v>
      </c>
    </row>
    <row r="209" spans="1:39" s="1" customFormat="1" ht="11.25" customHeight="1" x14ac:dyDescent="0.2">
      <c r="A209" s="26"/>
      <c r="B209" s="26"/>
      <c r="C209" s="26"/>
      <c r="D209" s="26"/>
      <c r="E209" s="26"/>
      <c r="F209" s="26"/>
      <c r="G209" s="26" t="s">
        <v>218</v>
      </c>
      <c r="H209" s="28"/>
      <c r="I209" s="28">
        <v>15497</v>
      </c>
      <c r="J209" s="28"/>
      <c r="K209" s="28">
        <v>13768</v>
      </c>
      <c r="L209" s="28"/>
      <c r="M209" s="28">
        <v>14064</v>
      </c>
      <c r="N209" s="28"/>
      <c r="O209" s="28">
        <f>7453.55+385.35</f>
        <v>7838.9000000000005</v>
      </c>
      <c r="P209" s="28"/>
      <c r="Q209" s="28">
        <v>5366.88</v>
      </c>
      <c r="R209" s="28"/>
      <c r="S209" s="9">
        <v>7864.66</v>
      </c>
      <c r="T209" s="9"/>
      <c r="U209" s="9"/>
      <c r="V209" s="9"/>
      <c r="W209" s="8">
        <v>3813.13</v>
      </c>
      <c r="X209" s="9"/>
      <c r="Y209" s="9">
        <v>8000</v>
      </c>
      <c r="AA209" s="9">
        <v>5000</v>
      </c>
      <c r="AC209" s="28">
        <f t="shared" si="109"/>
        <v>9780.4880000000012</v>
      </c>
      <c r="AD209" s="28">
        <f t="shared" si="110"/>
        <v>14064</v>
      </c>
      <c r="AE209" s="28">
        <f t="shared" si="111"/>
        <v>5366.88</v>
      </c>
      <c r="AG209" s="28">
        <f t="shared" si="112"/>
        <v>-5967.3580000000011</v>
      </c>
      <c r="AH209" s="28">
        <f t="shared" si="113"/>
        <v>-10250.869999999999</v>
      </c>
      <c r="AI209" s="28">
        <f t="shared" si="114"/>
        <v>-1553.75</v>
      </c>
      <c r="AK209" s="28">
        <f t="shared" si="115"/>
        <v>-1780.4880000000012</v>
      </c>
      <c r="AL209" s="28">
        <f t="shared" si="116"/>
        <v>-6064</v>
      </c>
      <c r="AM209" s="28">
        <f t="shared" si="117"/>
        <v>2633.12</v>
      </c>
    </row>
    <row r="210" spans="1:39" s="1" customFormat="1" ht="11.25" customHeight="1" x14ac:dyDescent="0.2">
      <c r="A210" s="26"/>
      <c r="B210" s="26"/>
      <c r="C210" s="26"/>
      <c r="D210" s="26"/>
      <c r="E210" s="26"/>
      <c r="F210" s="26"/>
      <c r="G210" s="26" t="s">
        <v>219</v>
      </c>
      <c r="H210" s="28"/>
      <c r="I210" s="28">
        <v>7955</v>
      </c>
      <c r="J210" s="28"/>
      <c r="K210" s="28">
        <v>39459</v>
      </c>
      <c r="L210" s="28"/>
      <c r="M210" s="28">
        <v>5926</v>
      </c>
      <c r="N210" s="28"/>
      <c r="O210" s="28">
        <v>10838.78</v>
      </c>
      <c r="P210" s="28"/>
      <c r="Q210" s="28">
        <v>12138.48</v>
      </c>
      <c r="R210" s="28"/>
      <c r="S210" s="9">
        <v>8042.25</v>
      </c>
      <c r="T210" s="9"/>
      <c r="U210" s="9"/>
      <c r="V210" s="9"/>
      <c r="W210" s="8">
        <v>11568.47</v>
      </c>
      <c r="X210" s="9"/>
      <c r="Y210" s="9">
        <v>8000</v>
      </c>
      <c r="AA210" s="9">
        <v>10000</v>
      </c>
      <c r="AC210" s="28">
        <f t="shared" si="109"/>
        <v>15280.901999999998</v>
      </c>
      <c r="AD210" s="28">
        <f t="shared" si="110"/>
        <v>39459</v>
      </c>
      <c r="AE210" s="28">
        <f t="shared" si="111"/>
        <v>5926</v>
      </c>
      <c r="AG210" s="28">
        <f t="shared" si="112"/>
        <v>-3712.4319999999989</v>
      </c>
      <c r="AH210" s="28">
        <f t="shared" si="113"/>
        <v>-27890.53</v>
      </c>
      <c r="AI210" s="28">
        <f t="shared" si="114"/>
        <v>5642.4699999999993</v>
      </c>
      <c r="AK210" s="28">
        <f t="shared" si="115"/>
        <v>-7280.9019999999982</v>
      </c>
      <c r="AL210" s="28">
        <f t="shared" si="116"/>
        <v>-31459</v>
      </c>
      <c r="AM210" s="28">
        <f t="shared" si="117"/>
        <v>2074</v>
      </c>
    </row>
    <row r="211" spans="1:39" s="1" customFormat="1" ht="12" customHeight="1" thickBot="1" x14ac:dyDescent="0.25">
      <c r="A211" s="26"/>
      <c r="B211" s="26"/>
      <c r="C211" s="26"/>
      <c r="D211" s="26"/>
      <c r="E211" s="26"/>
      <c r="F211" s="26"/>
      <c r="G211" s="26" t="s">
        <v>220</v>
      </c>
      <c r="H211" s="28"/>
      <c r="I211" s="31">
        <v>531</v>
      </c>
      <c r="J211" s="28"/>
      <c r="K211" s="31">
        <v>998</v>
      </c>
      <c r="L211" s="28"/>
      <c r="M211" s="31">
        <v>799</v>
      </c>
      <c r="N211" s="28"/>
      <c r="O211" s="31">
        <v>62.32</v>
      </c>
      <c r="P211" s="31"/>
      <c r="Q211" s="28">
        <v>1414.58</v>
      </c>
      <c r="R211" s="28"/>
      <c r="S211" s="9">
        <v>1666.49</v>
      </c>
      <c r="T211" s="11"/>
      <c r="U211" s="11"/>
      <c r="V211" s="9"/>
      <c r="W211" s="10">
        <v>69</v>
      </c>
      <c r="X211" s="9"/>
      <c r="Y211" s="11">
        <v>1000</v>
      </c>
      <c r="AA211" s="11">
        <v>500</v>
      </c>
      <c r="AC211" s="31">
        <f t="shared" si="109"/>
        <v>988.07799999999986</v>
      </c>
      <c r="AD211" s="31">
        <f t="shared" si="110"/>
        <v>1666.49</v>
      </c>
      <c r="AE211" s="31">
        <f t="shared" si="111"/>
        <v>62.32</v>
      </c>
      <c r="AG211" s="31">
        <f t="shared" si="112"/>
        <v>-919.07799999999986</v>
      </c>
      <c r="AH211" s="31">
        <f t="shared" si="113"/>
        <v>-1597.49</v>
      </c>
      <c r="AI211" s="31">
        <f t="shared" si="114"/>
        <v>6.68</v>
      </c>
      <c r="AK211" s="31">
        <f t="shared" si="115"/>
        <v>11.922000000000139</v>
      </c>
      <c r="AL211" s="31">
        <f t="shared" si="116"/>
        <v>-666.49</v>
      </c>
      <c r="AM211" s="31">
        <f t="shared" si="117"/>
        <v>937.68</v>
      </c>
    </row>
    <row r="212" spans="1:39" s="1" customFormat="1" ht="12" customHeight="1" thickBot="1" x14ac:dyDescent="0.25">
      <c r="A212" s="26"/>
      <c r="B212" s="26"/>
      <c r="C212" s="26"/>
      <c r="D212" s="26"/>
      <c r="E212" s="26"/>
      <c r="F212" s="26" t="s">
        <v>221</v>
      </c>
      <c r="G212" s="26"/>
      <c r="H212" s="28"/>
      <c r="I212" s="32">
        <f>ROUND(SUM(I201:I211),5)</f>
        <v>151934</v>
      </c>
      <c r="J212" s="28"/>
      <c r="K212" s="32">
        <f>ROUND(SUM(K201:K211),5)</f>
        <v>240687</v>
      </c>
      <c r="L212" s="28"/>
      <c r="M212" s="32">
        <f>ROUND(SUM(M201:M211),5)</f>
        <v>207112</v>
      </c>
      <c r="N212" s="28"/>
      <c r="O212" s="32">
        <f>ROUND(SUM(O201:O211),5)</f>
        <v>171776.24</v>
      </c>
      <c r="P212" s="32"/>
      <c r="Q212" s="32">
        <f>ROUND(SUM(Q201:Q211),5)</f>
        <v>175966.96</v>
      </c>
      <c r="R212" s="32"/>
      <c r="S212" s="12">
        <f>ROUND(SUM(S201:S211),5)</f>
        <v>145048.32999999999</v>
      </c>
      <c r="T212" s="11"/>
      <c r="U212" s="11"/>
      <c r="V212" s="9"/>
      <c r="W212" s="12">
        <f>ROUND(SUM(W201:W211),5)</f>
        <v>100972.65</v>
      </c>
      <c r="X212" s="9"/>
      <c r="Y212" s="12">
        <f>ROUND(SUM(Y201:Y211),5)</f>
        <v>128087</v>
      </c>
      <c r="AA212" s="12">
        <f>ROUND(SUM(AA201:AA211),5)</f>
        <v>116500</v>
      </c>
      <c r="AC212" s="32">
        <f t="shared" ref="AC212:AE212" si="118">ROUND(SUM(AC201:AC211),5)</f>
        <v>194844.21100000001</v>
      </c>
      <c r="AD212" s="32">
        <f t="shared" si="118"/>
        <v>291075.37</v>
      </c>
      <c r="AE212" s="32">
        <f t="shared" si="118"/>
        <v>93445.89</v>
      </c>
      <c r="AG212" s="32">
        <f t="shared" ref="AG212:AI212" si="119">ROUND(SUM(AG201:AG211),5)</f>
        <v>-93871.561000000002</v>
      </c>
      <c r="AH212" s="32">
        <f t="shared" si="119"/>
        <v>-190102.72</v>
      </c>
      <c r="AI212" s="32">
        <f t="shared" si="119"/>
        <v>7526.76</v>
      </c>
      <c r="AK212" s="32">
        <f t="shared" ref="AK212:AM212" si="120">ROUND(SUM(AK201:AK211),5)</f>
        <v>-66757.210999999996</v>
      </c>
      <c r="AL212" s="32">
        <f t="shared" si="120"/>
        <v>-162988.37</v>
      </c>
      <c r="AM212" s="32">
        <f t="shared" si="120"/>
        <v>34641.11</v>
      </c>
    </row>
    <row r="213" spans="1:39" s="1" customFormat="1" ht="11.25" customHeight="1" x14ac:dyDescent="0.2">
      <c r="A213" s="26"/>
      <c r="B213" s="26"/>
      <c r="C213" s="26"/>
      <c r="D213" s="26"/>
      <c r="E213" s="35" t="s">
        <v>222</v>
      </c>
      <c r="F213" s="26"/>
      <c r="G213" s="26"/>
      <c r="H213" s="28"/>
      <c r="I213" s="28">
        <f>ROUND(I167+I176+I183+I189+I195+I200+I212,5)</f>
        <v>1402625</v>
      </c>
      <c r="J213" s="28"/>
      <c r="K213" s="28">
        <f>ROUND(K167+K176+K183+K189+K195+K200+K212,5)</f>
        <v>1486264</v>
      </c>
      <c r="L213" s="28"/>
      <c r="M213" s="28">
        <f>ROUND(M167+M176+M183+M189+M195+M200+M212,5)</f>
        <v>1596237</v>
      </c>
      <c r="N213" s="28"/>
      <c r="O213" s="28">
        <f>ROUND(O167+O176+O183+O189+O195+O200+O212,5)</f>
        <v>1348640.44</v>
      </c>
      <c r="P213" s="28"/>
      <c r="Q213" s="28">
        <f>ROUND(Q167+Q176+Q183+Q189+Q195+Q200+Q212,5)</f>
        <v>1430046.97</v>
      </c>
      <c r="R213" s="28"/>
      <c r="S213" s="9">
        <f>ROUND(S167+S176+S183+S189+S195+S200+S212,5)</f>
        <v>1445784.91</v>
      </c>
      <c r="T213" s="9"/>
      <c r="U213" s="9"/>
      <c r="V213" s="9"/>
      <c r="W213" s="9">
        <f>ROUND(W167+W176+W183+W189+W195+W200+W212,5)</f>
        <v>1391779.92</v>
      </c>
      <c r="X213" s="9"/>
      <c r="Y213" s="9">
        <f>ROUND(Y167+Y176+Y183+Y189+Y195+Y200+Y212,5)</f>
        <v>1633179</v>
      </c>
      <c r="AA213" s="9">
        <f>ROUND(AA167+AA176+AA183+AA189+AA195+AA200+AA212,5)</f>
        <v>1638903.8398</v>
      </c>
      <c r="AC213" s="28">
        <f>ROUND(AC167+AC176+AC183+AC189+AC195+AC200+AC212,5)</f>
        <v>1515906.1954999999</v>
      </c>
      <c r="AD213" s="28">
        <f>ROUND(AD167+AD176+AD183+AD189+AD195+AD200+AD212,5)</f>
        <v>1840590.13</v>
      </c>
      <c r="AE213" s="28">
        <f>ROUND(AE167+AE176+AE183+AE189+AE195+AE200+AE212,5)</f>
        <v>1174216.17</v>
      </c>
      <c r="AG213" s="28">
        <f>ROUND(AG167+AG176+AG183+AG189+AG195+AG200+AG212,5)</f>
        <v>-124050.0105</v>
      </c>
      <c r="AH213" s="28">
        <f>ROUND(AH167+AH176+AH183+AH189+AH195+AH200+AH212,5)</f>
        <v>-469488.71</v>
      </c>
      <c r="AI213" s="28">
        <f>ROUND(AI167+AI176+AI183+AI189+AI195+AI200+AI212,5)</f>
        <v>217563.75</v>
      </c>
      <c r="AJ213" s="28"/>
      <c r="AK213" s="28">
        <f>ROUND(AK167+AK176+AK183+AK189+AK195+AK200+AK212,5)</f>
        <v>117349.0695</v>
      </c>
      <c r="AL213" s="28">
        <f>ROUND(AL167+AL176+AL183+AL189+AL195+AL200+AL212,5)</f>
        <v>-248941.13</v>
      </c>
      <c r="AM213" s="28">
        <f>ROUND(AM167+AM176+AM183+AM189+AM195+AM200+AM212,5)</f>
        <v>458962.83</v>
      </c>
    </row>
    <row r="214" spans="1:39" s="1" customFormat="1" ht="11.25" customHeight="1" x14ac:dyDescent="0.2">
      <c r="A214" s="26"/>
      <c r="B214" s="26"/>
      <c r="C214" s="26"/>
      <c r="D214" s="26"/>
      <c r="E214" s="26"/>
      <c r="F214" s="26"/>
      <c r="G214" s="26"/>
      <c r="H214" s="28"/>
      <c r="I214" s="28"/>
      <c r="J214" s="28"/>
      <c r="K214" s="28"/>
      <c r="L214" s="28"/>
      <c r="M214" s="28"/>
      <c r="N214" s="28"/>
      <c r="O214" s="28"/>
      <c r="P214" s="28"/>
      <c r="Q214" s="28"/>
      <c r="R214" s="28"/>
      <c r="S214" s="9"/>
      <c r="T214" s="9"/>
      <c r="U214" s="9"/>
      <c r="V214" s="9"/>
      <c r="W214" s="9"/>
      <c r="X214" s="9"/>
      <c r="Y214" s="9"/>
      <c r="AA214" s="9"/>
      <c r="AC214" s="28"/>
      <c r="AD214" s="28"/>
      <c r="AE214" s="28"/>
      <c r="AG214" s="28"/>
      <c r="AH214" s="28"/>
      <c r="AI214" s="28"/>
      <c r="AK214" s="28"/>
      <c r="AL214" s="28"/>
      <c r="AM214" s="28"/>
    </row>
    <row r="215" spans="1:39" s="1" customFormat="1" ht="11.25" customHeight="1" x14ac:dyDescent="0.2">
      <c r="A215" s="26"/>
      <c r="B215" s="26"/>
      <c r="C215" s="26"/>
      <c r="D215" s="26"/>
      <c r="E215" s="35" t="s">
        <v>223</v>
      </c>
      <c r="F215" s="26"/>
      <c r="G215" s="26"/>
      <c r="H215" s="28"/>
      <c r="I215" s="28"/>
      <c r="J215" s="28"/>
      <c r="K215" s="28"/>
      <c r="L215" s="28"/>
      <c r="M215" s="28"/>
      <c r="N215" s="28"/>
      <c r="O215" s="28"/>
      <c r="P215" s="28"/>
      <c r="Q215" s="28"/>
      <c r="R215" s="28"/>
      <c r="S215" s="9"/>
      <c r="T215" s="9"/>
      <c r="U215" s="9"/>
      <c r="V215" s="9"/>
      <c r="W215" s="9"/>
      <c r="X215" s="9"/>
      <c r="Y215" s="9"/>
      <c r="AA215" s="9"/>
      <c r="AC215" s="28"/>
      <c r="AD215" s="28"/>
      <c r="AE215" s="28"/>
      <c r="AG215" s="28"/>
      <c r="AH215" s="28"/>
      <c r="AI215" s="28"/>
      <c r="AK215" s="28"/>
      <c r="AL215" s="28"/>
      <c r="AM215" s="28"/>
    </row>
    <row r="216" spans="1:39" s="1" customFormat="1" ht="11.25" customHeight="1" x14ac:dyDescent="0.2">
      <c r="A216" s="26"/>
      <c r="B216" s="26"/>
      <c r="C216" s="26"/>
      <c r="D216" s="26"/>
      <c r="E216" s="26"/>
      <c r="F216" s="26" t="s">
        <v>224</v>
      </c>
      <c r="G216" s="26"/>
      <c r="H216" s="28"/>
      <c r="I216" s="28"/>
      <c r="J216" s="28"/>
      <c r="K216" s="28"/>
      <c r="L216" s="28"/>
      <c r="M216" s="28"/>
      <c r="N216" s="28"/>
      <c r="O216" s="28"/>
      <c r="P216" s="28"/>
      <c r="Q216" s="28"/>
      <c r="R216" s="28"/>
      <c r="S216" s="9"/>
      <c r="T216" s="9"/>
      <c r="U216" s="9"/>
      <c r="V216" s="9"/>
      <c r="W216" s="9"/>
      <c r="X216" s="9"/>
      <c r="Y216" s="9"/>
      <c r="AA216" s="9"/>
      <c r="AC216" s="28"/>
      <c r="AD216" s="28"/>
      <c r="AE216" s="28"/>
      <c r="AG216" s="28"/>
      <c r="AH216" s="28"/>
      <c r="AI216" s="28"/>
      <c r="AK216" s="28"/>
      <c r="AL216" s="28"/>
      <c r="AM216" s="28"/>
    </row>
    <row r="217" spans="1:39" s="1" customFormat="1" ht="11.25" customHeight="1" x14ac:dyDescent="0.2">
      <c r="A217" s="26"/>
      <c r="B217" s="26"/>
      <c r="C217" s="26"/>
      <c r="D217" s="26"/>
      <c r="E217" s="26"/>
      <c r="F217" s="26"/>
      <c r="G217" s="26" t="s">
        <v>225</v>
      </c>
      <c r="H217" s="28"/>
      <c r="I217" s="28">
        <v>49453</v>
      </c>
      <c r="J217" s="28"/>
      <c r="K217" s="28">
        <v>59876</v>
      </c>
      <c r="L217" s="28"/>
      <c r="M217" s="28">
        <v>87659</v>
      </c>
      <c r="N217" s="28"/>
      <c r="O217" s="28">
        <v>98332.06</v>
      </c>
      <c r="P217" s="28"/>
      <c r="Q217" s="28">
        <v>60661.23</v>
      </c>
      <c r="R217" s="28"/>
      <c r="S217" s="9">
        <v>53344.03</v>
      </c>
      <c r="T217" s="9"/>
      <c r="U217" s="9"/>
      <c r="V217" s="9"/>
      <c r="W217" s="8">
        <v>40837.49</v>
      </c>
      <c r="X217" s="9"/>
      <c r="Y217" s="9">
        <v>61607</v>
      </c>
      <c r="AA217" s="9">
        <f>48894+10000</f>
        <v>58894</v>
      </c>
      <c r="AC217" s="28">
        <f t="shared" ref="AC217:AC222" si="121">AVERAGE(K217:S217)</f>
        <v>71974.463999999993</v>
      </c>
      <c r="AD217" s="28">
        <f>MAX(K217:S217)</f>
        <v>98332.06</v>
      </c>
      <c r="AE217" s="28">
        <f>MIN(K217:S217)</f>
        <v>53344.03</v>
      </c>
      <c r="AG217" s="28">
        <f t="shared" ref="AG217:AG222" si="122">+W217-AC217</f>
        <v>-31136.973999999995</v>
      </c>
      <c r="AH217" s="28">
        <f>+W217-AD217</f>
        <v>-57494.57</v>
      </c>
      <c r="AI217" s="28">
        <f>+W217-AE217</f>
        <v>-12506.54</v>
      </c>
      <c r="AK217" s="28">
        <f>+Y217-AC217</f>
        <v>-10367.463999999993</v>
      </c>
      <c r="AL217" s="28">
        <f>+Y217-AD217</f>
        <v>-36725.06</v>
      </c>
      <c r="AM217" s="28">
        <f>+Y217-AE217</f>
        <v>8262.9700000000012</v>
      </c>
    </row>
    <row r="218" spans="1:39" s="1" customFormat="1" ht="11.25" customHeight="1" x14ac:dyDescent="0.2">
      <c r="A218" s="26"/>
      <c r="B218" s="26"/>
      <c r="C218" s="26"/>
      <c r="D218" s="26"/>
      <c r="E218" s="26"/>
      <c r="F218" s="26"/>
      <c r="G218" s="26" t="s">
        <v>226</v>
      </c>
      <c r="H218" s="28"/>
      <c r="I218" s="28">
        <v>4553</v>
      </c>
      <c r="J218" s="28"/>
      <c r="K218" s="28">
        <v>5422</v>
      </c>
      <c r="L218" s="28"/>
      <c r="M218" s="28">
        <v>7726</v>
      </c>
      <c r="N218" s="28"/>
      <c r="O218" s="28">
        <v>7787.04</v>
      </c>
      <c r="P218" s="28"/>
      <c r="Q218" s="28">
        <v>5292.88</v>
      </c>
      <c r="R218" s="28"/>
      <c r="S218" s="9">
        <v>4496.41</v>
      </c>
      <c r="T218" s="9"/>
      <c r="U218" s="9"/>
      <c r="V218" s="9"/>
      <c r="W218" s="8">
        <v>3506.22</v>
      </c>
      <c r="X218" s="9"/>
      <c r="Y218" s="9">
        <v>4713</v>
      </c>
      <c r="AA218" s="9">
        <f>+AA217*0.0765</f>
        <v>4505.3909999999996</v>
      </c>
      <c r="AC218" s="28">
        <f t="shared" si="121"/>
        <v>6144.866</v>
      </c>
      <c r="AD218" s="28">
        <f>MAX(K218:S218)</f>
        <v>7787.04</v>
      </c>
      <c r="AE218" s="28">
        <f>MIN(K218:S218)</f>
        <v>4496.41</v>
      </c>
      <c r="AG218" s="28">
        <f t="shared" si="122"/>
        <v>-2638.6460000000002</v>
      </c>
      <c r="AH218" s="28">
        <f>+W218-AD218</f>
        <v>-4280.82</v>
      </c>
      <c r="AI218" s="28">
        <f>+W218-AE218</f>
        <v>-990.19</v>
      </c>
      <c r="AK218" s="28">
        <f>+Y218-AC218</f>
        <v>-1431.866</v>
      </c>
      <c r="AL218" s="28">
        <f>+Y218-AD218</f>
        <v>-3074.04</v>
      </c>
      <c r="AM218" s="28">
        <f>+Y218-AE218</f>
        <v>216.59000000000015</v>
      </c>
    </row>
    <row r="219" spans="1:39" s="1" customFormat="1" ht="11.25" customHeight="1" x14ac:dyDescent="0.2">
      <c r="A219" s="26"/>
      <c r="B219" s="26"/>
      <c r="C219" s="26"/>
      <c r="D219" s="26"/>
      <c r="E219" s="26"/>
      <c r="F219" s="26"/>
      <c r="G219" s="26" t="s">
        <v>227</v>
      </c>
      <c r="H219" s="28"/>
      <c r="I219" s="28">
        <v>8997</v>
      </c>
      <c r="J219" s="28"/>
      <c r="K219" s="28">
        <v>10024</v>
      </c>
      <c r="L219" s="28"/>
      <c r="M219" s="28">
        <v>8811</v>
      </c>
      <c r="N219" s="28"/>
      <c r="O219" s="28">
        <v>11305.63</v>
      </c>
      <c r="P219" s="28"/>
      <c r="Q219" s="28">
        <v>10055.66</v>
      </c>
      <c r="R219" s="28"/>
      <c r="S219" s="9">
        <v>10841.63</v>
      </c>
      <c r="T219" s="9"/>
      <c r="U219" s="9"/>
      <c r="V219" s="9"/>
      <c r="W219" s="8">
        <v>10448.64</v>
      </c>
      <c r="X219" s="9"/>
      <c r="Y219" s="9">
        <v>11380</v>
      </c>
      <c r="AA219" s="9">
        <v>11485</v>
      </c>
      <c r="AC219" s="28">
        <f t="shared" si="121"/>
        <v>10207.583999999999</v>
      </c>
      <c r="AD219" s="28">
        <f>MAX(K219:S219)</f>
        <v>11305.63</v>
      </c>
      <c r="AE219" s="28">
        <f>MIN(K219:S219)</f>
        <v>8811</v>
      </c>
      <c r="AG219" s="28">
        <f t="shared" si="122"/>
        <v>241.05600000000049</v>
      </c>
      <c r="AH219" s="28">
        <f>+W219-AD219</f>
        <v>-856.98999999999978</v>
      </c>
      <c r="AI219" s="28">
        <f>+W219-AE219</f>
        <v>1637.6399999999994</v>
      </c>
      <c r="AK219" s="28">
        <f>+Y219-AC219</f>
        <v>1172.4160000000011</v>
      </c>
      <c r="AL219" s="28">
        <f>+Y219-AD219</f>
        <v>74.3700000000008</v>
      </c>
      <c r="AM219" s="28">
        <f>+Y219-AE219</f>
        <v>2569</v>
      </c>
    </row>
    <row r="220" spans="1:39" s="16" customFormat="1" ht="11.25" customHeight="1" x14ac:dyDescent="0.2">
      <c r="A220" s="26"/>
      <c r="B220" s="26"/>
      <c r="C220" s="26"/>
      <c r="D220" s="26"/>
      <c r="E220" s="26"/>
      <c r="F220" s="26"/>
      <c r="G220" s="26" t="s">
        <v>228</v>
      </c>
      <c r="H220" s="31"/>
      <c r="I220" s="31"/>
      <c r="J220" s="31"/>
      <c r="K220" s="31"/>
      <c r="L220" s="31"/>
      <c r="M220" s="31"/>
      <c r="N220" s="31"/>
      <c r="O220" s="31"/>
      <c r="P220" s="31"/>
      <c r="Q220" s="28">
        <v>1333.49</v>
      </c>
      <c r="R220" s="28"/>
      <c r="S220" s="9">
        <v>1382.67</v>
      </c>
      <c r="T220" s="11"/>
      <c r="U220" s="11"/>
      <c r="V220" s="11"/>
      <c r="W220" s="8">
        <v>1281.03</v>
      </c>
      <c r="X220" s="11"/>
      <c r="Y220" s="11">
        <v>1421</v>
      </c>
      <c r="AA220" s="11">
        <f>+AA217*0.03</f>
        <v>1766.82</v>
      </c>
      <c r="AC220" s="31">
        <f t="shared" si="121"/>
        <v>1358.08</v>
      </c>
      <c r="AD220" s="31">
        <f>MAX(K220:S220)</f>
        <v>1382.67</v>
      </c>
      <c r="AE220" s="31">
        <f>MIN(K220:S220)</f>
        <v>1333.49</v>
      </c>
      <c r="AF220" s="1"/>
      <c r="AG220" s="31">
        <f t="shared" si="122"/>
        <v>-77.049999999999955</v>
      </c>
      <c r="AH220" s="31">
        <f>+W220-AD220</f>
        <v>-101.6400000000001</v>
      </c>
      <c r="AI220" s="31">
        <f>+W220-AE220</f>
        <v>-52.460000000000036</v>
      </c>
      <c r="AJ220" s="1"/>
      <c r="AK220" s="31">
        <f>+Y220-AC220</f>
        <v>62.920000000000073</v>
      </c>
      <c r="AL220" s="31">
        <f>+Y220-AD220</f>
        <v>38.329999999999927</v>
      </c>
      <c r="AM220" s="31">
        <f>+Y220-AE220</f>
        <v>87.509999999999991</v>
      </c>
    </row>
    <row r="221" spans="1:39" s="16" customFormat="1" ht="11.25" customHeight="1" x14ac:dyDescent="0.2">
      <c r="A221" s="26"/>
      <c r="B221" s="26"/>
      <c r="C221" s="26"/>
      <c r="D221" s="26"/>
      <c r="E221" s="26"/>
      <c r="F221" s="26"/>
      <c r="G221" s="26" t="s">
        <v>229</v>
      </c>
      <c r="H221" s="31"/>
      <c r="I221" s="31"/>
      <c r="J221" s="31"/>
      <c r="K221" s="31"/>
      <c r="L221" s="31"/>
      <c r="M221" s="31"/>
      <c r="N221" s="31"/>
      <c r="O221" s="31"/>
      <c r="P221" s="31"/>
      <c r="Q221" s="28"/>
      <c r="R221" s="28"/>
      <c r="S221" s="9">
        <v>191.9</v>
      </c>
      <c r="T221" s="11"/>
      <c r="U221" s="11"/>
      <c r="V221" s="11"/>
      <c r="W221" s="8">
        <v>128.28</v>
      </c>
      <c r="X221" s="11"/>
      <c r="Y221" s="11">
        <v>200</v>
      </c>
      <c r="AA221" s="11">
        <v>250</v>
      </c>
      <c r="AC221" s="31">
        <f t="shared" si="121"/>
        <v>191.9</v>
      </c>
      <c r="AD221" s="31"/>
      <c r="AE221" s="31"/>
      <c r="AF221" s="1"/>
      <c r="AG221" s="31">
        <f t="shared" si="122"/>
        <v>-63.620000000000005</v>
      </c>
      <c r="AH221" s="31"/>
      <c r="AI221" s="31"/>
      <c r="AJ221" s="1"/>
      <c r="AK221" s="31"/>
      <c r="AL221" s="31"/>
      <c r="AM221" s="31"/>
    </row>
    <row r="222" spans="1:39" s="1" customFormat="1" ht="12" customHeight="1" thickBot="1" x14ac:dyDescent="0.25">
      <c r="A222" s="26"/>
      <c r="B222" s="26"/>
      <c r="C222" s="26"/>
      <c r="D222" s="26"/>
      <c r="E222" s="26"/>
      <c r="F222" s="26"/>
      <c r="G222" s="26" t="s">
        <v>230</v>
      </c>
      <c r="H222" s="28"/>
      <c r="I222" s="33"/>
      <c r="J222" s="28"/>
      <c r="K222" s="33"/>
      <c r="L222" s="28"/>
      <c r="M222" s="33"/>
      <c r="N222" s="28"/>
      <c r="O222" s="33"/>
      <c r="P222" s="33"/>
      <c r="Q222" s="33">
        <v>0</v>
      </c>
      <c r="R222" s="33"/>
      <c r="S222" s="14">
        <v>3728.48</v>
      </c>
      <c r="T222" s="11"/>
      <c r="U222" s="11"/>
      <c r="V222" s="9"/>
      <c r="W222" s="13">
        <v>1986</v>
      </c>
      <c r="X222" s="9"/>
      <c r="Y222" s="14">
        <v>3845</v>
      </c>
      <c r="AA222" s="14">
        <f>+AA217*6.24/100</f>
        <v>3674.9856</v>
      </c>
      <c r="AC222" s="33">
        <f t="shared" si="121"/>
        <v>1864.24</v>
      </c>
      <c r="AD222" s="33">
        <f>MAX(K222:S222)</f>
        <v>3728.48</v>
      </c>
      <c r="AE222" s="33">
        <f>MIN(K222:S222)</f>
        <v>0</v>
      </c>
      <c r="AG222" s="33">
        <f t="shared" si="122"/>
        <v>121.75999999999999</v>
      </c>
      <c r="AH222" s="33">
        <f>+W222-AD222</f>
        <v>-1742.48</v>
      </c>
      <c r="AI222" s="33">
        <f>+W222-AE222</f>
        <v>1986</v>
      </c>
      <c r="AK222" s="33">
        <f>+Y222-AC222</f>
        <v>1980.76</v>
      </c>
      <c r="AL222" s="33">
        <f>+Y222-AD222</f>
        <v>116.51999999999998</v>
      </c>
      <c r="AM222" s="33">
        <f>+Y222-AE222</f>
        <v>3845</v>
      </c>
    </row>
    <row r="223" spans="1:39" s="1" customFormat="1" ht="11.25" customHeight="1" x14ac:dyDescent="0.2">
      <c r="A223" s="26"/>
      <c r="B223" s="26"/>
      <c r="C223" s="26"/>
      <c r="D223" s="26"/>
      <c r="E223" s="26"/>
      <c r="F223" s="26" t="s">
        <v>231</v>
      </c>
      <c r="G223" s="26"/>
      <c r="H223" s="28"/>
      <c r="I223" s="28">
        <f>ROUND(SUM(I216:I222),5)</f>
        <v>63003</v>
      </c>
      <c r="J223" s="28"/>
      <c r="K223" s="28">
        <f>ROUND(SUM(K216:K222),5)</f>
        <v>75322</v>
      </c>
      <c r="L223" s="28"/>
      <c r="M223" s="28">
        <f>ROUND(SUM(M216:M222),5)</f>
        <v>104196</v>
      </c>
      <c r="N223" s="28"/>
      <c r="O223" s="28">
        <f>ROUND(SUM(O216:O222),5)</f>
        <v>117424.73</v>
      </c>
      <c r="P223" s="28"/>
      <c r="Q223" s="28">
        <f>ROUND(SUM(Q216:Q222),5)</f>
        <v>77343.259999999995</v>
      </c>
      <c r="R223" s="28"/>
      <c r="S223" s="9">
        <f>ROUND(SUM(S216:S222),5)</f>
        <v>73985.119999999995</v>
      </c>
      <c r="T223" s="9"/>
      <c r="U223" s="9"/>
      <c r="V223" s="9"/>
      <c r="W223" s="9">
        <f>ROUND(SUM(W216:W222),5)</f>
        <v>58187.66</v>
      </c>
      <c r="X223" s="9"/>
      <c r="Y223" s="9">
        <f>ROUND(SUM(Y216:Y222),5)</f>
        <v>83166</v>
      </c>
      <c r="AA223" s="9">
        <f>ROUND(SUM(AA216:AA222),5)</f>
        <v>80576.196599999996</v>
      </c>
      <c r="AC223" s="28">
        <f>ROUND(SUM(AC216:AC222),5)</f>
        <v>91741.134000000005</v>
      </c>
      <c r="AD223" s="28">
        <f t="shared" ref="AD223" si="123">ROUND(SUM(AD216:AD220),5)</f>
        <v>118807.4</v>
      </c>
      <c r="AE223" s="28">
        <f>ROUND(SUM(AE216:AE222),5)</f>
        <v>67984.929999999993</v>
      </c>
      <c r="AG223" s="28">
        <f>ROUND(SUM(AG216:AG222),5)</f>
        <v>-33553.474000000002</v>
      </c>
      <c r="AH223" s="28">
        <f t="shared" ref="AH223" si="124">ROUND(SUM(AH216:AH220),5)</f>
        <v>-62734.02</v>
      </c>
      <c r="AI223" s="28">
        <f>ROUND(SUM(AI216:AI222),5)</f>
        <v>-9925.5499999999993</v>
      </c>
      <c r="AK223" s="28">
        <f>ROUND(SUM(AK216:AK222),5)</f>
        <v>-8583.2340000000004</v>
      </c>
      <c r="AL223" s="28">
        <f t="shared" ref="AL223" si="125">ROUND(SUM(AL216:AL220),5)</f>
        <v>-39686.400000000001</v>
      </c>
      <c r="AM223" s="28">
        <f>ROUND(SUM(AM216:AM222),5)</f>
        <v>14981.07</v>
      </c>
    </row>
    <row r="224" spans="1:39" s="1" customFormat="1" ht="11.25" customHeight="1" x14ac:dyDescent="0.2">
      <c r="A224" s="26"/>
      <c r="B224" s="26"/>
      <c r="C224" s="26"/>
      <c r="D224" s="26"/>
      <c r="E224" s="26"/>
      <c r="F224" s="26" t="s">
        <v>232</v>
      </c>
      <c r="G224" s="26"/>
      <c r="H224" s="28"/>
      <c r="I224" s="28"/>
      <c r="J224" s="28"/>
      <c r="K224" s="28"/>
      <c r="L224" s="28"/>
      <c r="M224" s="28"/>
      <c r="N224" s="28"/>
      <c r="O224" s="28"/>
      <c r="P224" s="28"/>
      <c r="Q224" s="28"/>
      <c r="R224" s="28"/>
      <c r="S224" s="9"/>
      <c r="T224" s="9"/>
      <c r="U224" s="9"/>
      <c r="V224" s="9"/>
      <c r="W224" s="9"/>
      <c r="X224" s="9"/>
      <c r="Y224" s="9"/>
      <c r="AA224" s="9"/>
      <c r="AC224" s="28"/>
      <c r="AD224" s="28"/>
      <c r="AE224" s="28"/>
      <c r="AG224" s="28"/>
      <c r="AH224" s="28"/>
      <c r="AI224" s="28"/>
      <c r="AK224" s="28"/>
      <c r="AL224" s="28"/>
      <c r="AM224" s="28"/>
    </row>
    <row r="225" spans="1:39" s="1" customFormat="1" ht="11.25" customHeight="1" x14ac:dyDescent="0.2">
      <c r="A225" s="26"/>
      <c r="B225" s="26"/>
      <c r="C225" s="26"/>
      <c r="D225" s="26"/>
      <c r="E225" s="26"/>
      <c r="F225" s="26"/>
      <c r="G225" s="26" t="s">
        <v>233</v>
      </c>
      <c r="H225" s="28"/>
      <c r="I225" s="28">
        <f>1579+5191</f>
        <v>6770</v>
      </c>
      <c r="J225" s="28"/>
      <c r="K225" s="28">
        <f>1670+4393</f>
        <v>6063</v>
      </c>
      <c r="L225" s="28"/>
      <c r="M225" s="28">
        <f>2361+3801</f>
        <v>6162</v>
      </c>
      <c r="N225" s="28"/>
      <c r="O225" s="28">
        <f>1623.08+3747.78</f>
        <v>5370.8600000000006</v>
      </c>
      <c r="P225" s="28"/>
      <c r="Q225" s="28">
        <v>5663.06</v>
      </c>
      <c r="R225" s="28"/>
      <c r="S225" s="9">
        <v>5601.4</v>
      </c>
      <c r="T225" s="9"/>
      <c r="U225" s="9"/>
      <c r="V225" s="9"/>
      <c r="W225" s="8">
        <v>3446.32</v>
      </c>
      <c r="X225" s="9"/>
      <c r="Y225" s="9">
        <v>6000</v>
      </c>
      <c r="AA225" s="9">
        <v>3282.36</v>
      </c>
      <c r="AC225" s="28">
        <f>AVERAGE(K225:S225)</f>
        <v>5772.0640000000003</v>
      </c>
      <c r="AD225" s="28">
        <f>MAX(K225:S225)</f>
        <v>6162</v>
      </c>
      <c r="AE225" s="28">
        <f>MIN(K225:S225)</f>
        <v>5370.8600000000006</v>
      </c>
      <c r="AG225" s="28">
        <f>+W225-AC225</f>
        <v>-2325.7440000000001</v>
      </c>
      <c r="AH225" s="28">
        <f>+W225-AD225</f>
        <v>-2715.68</v>
      </c>
      <c r="AI225" s="28">
        <f>+W225-AE225</f>
        <v>-1924.5400000000004</v>
      </c>
      <c r="AK225" s="28">
        <f>+Y225-AC225</f>
        <v>227.93599999999969</v>
      </c>
      <c r="AL225" s="28">
        <f>+Y225-AD225</f>
        <v>-162</v>
      </c>
      <c r="AM225" s="28">
        <f>+Y225-AE225</f>
        <v>629.13999999999942</v>
      </c>
    </row>
    <row r="226" spans="1:39" s="1" customFormat="1" ht="12" customHeight="1" thickBot="1" x14ac:dyDescent="0.25">
      <c r="A226" s="26"/>
      <c r="B226" s="26"/>
      <c r="C226" s="26"/>
      <c r="D226" s="26"/>
      <c r="E226" s="26"/>
      <c r="F226" s="26"/>
      <c r="G226" s="26" t="s">
        <v>234</v>
      </c>
      <c r="H226" s="28"/>
      <c r="I226" s="33">
        <v>636</v>
      </c>
      <c r="J226" s="28"/>
      <c r="K226" s="33">
        <v>690</v>
      </c>
      <c r="L226" s="28"/>
      <c r="M226" s="33">
        <v>1481</v>
      </c>
      <c r="N226" s="28"/>
      <c r="O226" s="33">
        <v>1167.8</v>
      </c>
      <c r="P226" s="33"/>
      <c r="Q226" s="33">
        <v>3393.47</v>
      </c>
      <c r="R226" s="33"/>
      <c r="S226" s="14">
        <v>686.27</v>
      </c>
      <c r="T226" s="11"/>
      <c r="U226" s="11"/>
      <c r="V226" s="9"/>
      <c r="W226" s="13">
        <v>473</v>
      </c>
      <c r="X226" s="9"/>
      <c r="Y226" s="14">
        <v>1200</v>
      </c>
      <c r="AA226" s="14">
        <v>500</v>
      </c>
      <c r="AC226" s="33">
        <f>AVERAGE(K226:S226)</f>
        <v>1483.7080000000001</v>
      </c>
      <c r="AD226" s="33">
        <f>MAX(K226:S226)</f>
        <v>3393.47</v>
      </c>
      <c r="AE226" s="33">
        <f>MIN(K226:S226)</f>
        <v>686.27</v>
      </c>
      <c r="AG226" s="33">
        <f>+W226-AC226</f>
        <v>-1010.7080000000001</v>
      </c>
      <c r="AH226" s="33">
        <f>+W226-AD226</f>
        <v>-2920.47</v>
      </c>
      <c r="AI226" s="33">
        <f>+W226-AE226</f>
        <v>-213.26999999999998</v>
      </c>
      <c r="AK226" s="33">
        <f>+Y226-AC226</f>
        <v>-283.70800000000008</v>
      </c>
      <c r="AL226" s="33">
        <f>+Y226-AD226</f>
        <v>-2193.4699999999998</v>
      </c>
      <c r="AM226" s="33">
        <f>+Y226-AE226</f>
        <v>513.73</v>
      </c>
    </row>
    <row r="227" spans="1:39" s="1" customFormat="1" ht="11.25" customHeight="1" x14ac:dyDescent="0.2">
      <c r="A227" s="26"/>
      <c r="B227" s="26"/>
      <c r="C227" s="26"/>
      <c r="D227" s="26"/>
      <c r="E227" s="26"/>
      <c r="F227" s="26" t="s">
        <v>235</v>
      </c>
      <c r="G227" s="26"/>
      <c r="H227" s="28"/>
      <c r="I227" s="28">
        <f>ROUND(SUM(I224:I226),5)</f>
        <v>7406</v>
      </c>
      <c r="J227" s="28"/>
      <c r="K227" s="28">
        <f>ROUND(SUM(K224:K226),5)</f>
        <v>6753</v>
      </c>
      <c r="L227" s="28"/>
      <c r="M227" s="28">
        <f>ROUND(SUM(M224:M226),5)</f>
        <v>7643</v>
      </c>
      <c r="N227" s="28"/>
      <c r="O227" s="28">
        <f>ROUND(SUM(O224:O226),5)</f>
        <v>6538.66</v>
      </c>
      <c r="P227" s="28"/>
      <c r="Q227" s="28">
        <f>ROUND(SUM(Q224:Q226),5)</f>
        <v>9056.5300000000007</v>
      </c>
      <c r="R227" s="28"/>
      <c r="S227" s="9">
        <f>ROUND(SUM(S224:S226),5)</f>
        <v>6287.67</v>
      </c>
      <c r="T227" s="9"/>
      <c r="U227" s="9"/>
      <c r="V227" s="9"/>
      <c r="W227" s="9">
        <f>ROUND(SUM(W224:W226),5)</f>
        <v>3919.32</v>
      </c>
      <c r="X227" s="9"/>
      <c r="Y227" s="9">
        <f>ROUND(SUM(Y224:Y226),5)</f>
        <v>7200</v>
      </c>
      <c r="AA227" s="9">
        <f>ROUND(SUM(AA224:AA226),5)</f>
        <v>3782.36</v>
      </c>
      <c r="AC227" s="28">
        <f t="shared" ref="AC227:AE227" si="126">ROUND(SUM(AC224:AC226),5)</f>
        <v>7255.7719999999999</v>
      </c>
      <c r="AD227" s="28">
        <f t="shared" si="126"/>
        <v>9555.4699999999993</v>
      </c>
      <c r="AE227" s="28">
        <f t="shared" si="126"/>
        <v>6057.13</v>
      </c>
      <c r="AG227" s="28">
        <f t="shared" ref="AG227:AI227" si="127">ROUND(SUM(AG224:AG226),5)</f>
        <v>-3336.4520000000002</v>
      </c>
      <c r="AH227" s="28">
        <f t="shared" si="127"/>
        <v>-5636.15</v>
      </c>
      <c r="AI227" s="28">
        <f t="shared" si="127"/>
        <v>-2137.81</v>
      </c>
      <c r="AK227" s="28">
        <f t="shared" ref="AK227:AM227" si="128">ROUND(SUM(AK224:AK226),5)</f>
        <v>-55.771999999999998</v>
      </c>
      <c r="AL227" s="28">
        <f t="shared" si="128"/>
        <v>-2355.4699999999998</v>
      </c>
      <c r="AM227" s="28">
        <f t="shared" si="128"/>
        <v>1142.8699999999999</v>
      </c>
    </row>
    <row r="228" spans="1:39" s="1" customFormat="1" ht="11.25" customHeight="1" x14ac:dyDescent="0.2">
      <c r="A228" s="26"/>
      <c r="B228" s="26"/>
      <c r="C228" s="26"/>
      <c r="D228" s="26"/>
      <c r="E228" s="26"/>
      <c r="F228" s="26" t="s">
        <v>236</v>
      </c>
      <c r="G228" s="26"/>
      <c r="H228" s="28"/>
      <c r="I228" s="28"/>
      <c r="J228" s="28"/>
      <c r="K228" s="28"/>
      <c r="L228" s="28"/>
      <c r="M228" s="28"/>
      <c r="N228" s="28"/>
      <c r="O228" s="28"/>
      <c r="P228" s="28"/>
      <c r="Q228" s="28"/>
      <c r="R228" s="28"/>
      <c r="S228" s="9"/>
      <c r="T228" s="9"/>
      <c r="U228" s="9"/>
      <c r="V228" s="9"/>
      <c r="W228" s="9"/>
      <c r="X228" s="9"/>
      <c r="Y228" s="9"/>
      <c r="AA228" s="9"/>
      <c r="AC228" s="28"/>
      <c r="AD228" s="28"/>
      <c r="AE228" s="28"/>
      <c r="AG228" s="28"/>
      <c r="AH228" s="28"/>
      <c r="AI228" s="28"/>
      <c r="AK228" s="28"/>
      <c r="AL228" s="28"/>
      <c r="AM228" s="28"/>
    </row>
    <row r="229" spans="1:39" s="1" customFormat="1" ht="11.25" customHeight="1" x14ac:dyDescent="0.2">
      <c r="A229" s="26"/>
      <c r="B229" s="26"/>
      <c r="C229" s="26"/>
      <c r="D229" s="26"/>
      <c r="E229" s="26"/>
      <c r="F229" s="26"/>
      <c r="G229" s="26" t="s">
        <v>237</v>
      </c>
      <c r="H229" s="28"/>
      <c r="I229" s="28">
        <v>3363</v>
      </c>
      <c r="J229" s="28"/>
      <c r="K229" s="28">
        <v>2705</v>
      </c>
      <c r="L229" s="28"/>
      <c r="M229" s="28">
        <v>7962</v>
      </c>
      <c r="N229" s="28"/>
      <c r="O229" s="28">
        <v>3991.88</v>
      </c>
      <c r="P229" s="28"/>
      <c r="Q229" s="28">
        <v>3452.34</v>
      </c>
      <c r="R229" s="28"/>
      <c r="S229" s="9">
        <v>2788.72</v>
      </c>
      <c r="T229" s="9"/>
      <c r="U229" s="9"/>
      <c r="V229" s="9"/>
      <c r="W229" s="8">
        <v>1945.72</v>
      </c>
      <c r="X229" s="9"/>
      <c r="Y229" s="9">
        <v>3600</v>
      </c>
      <c r="AA229" s="9">
        <v>3000</v>
      </c>
      <c r="AC229" s="28">
        <f>AVERAGE(K229:S229)</f>
        <v>4179.9880000000003</v>
      </c>
      <c r="AD229" s="28">
        <f>MAX(K229:S229)</f>
        <v>7962</v>
      </c>
      <c r="AE229" s="28">
        <f>MIN(K229:S229)</f>
        <v>2705</v>
      </c>
      <c r="AG229" s="28">
        <f>+W229-AC229</f>
        <v>-2234.268</v>
      </c>
      <c r="AH229" s="28">
        <f>+W229-AD229</f>
        <v>-6016.28</v>
      </c>
      <c r="AI229" s="28">
        <f>+W229-AE229</f>
        <v>-759.28</v>
      </c>
      <c r="AK229" s="28">
        <f>+Y229-AC229</f>
        <v>-579.98800000000028</v>
      </c>
      <c r="AL229" s="28">
        <f>+Y229-AD229</f>
        <v>-4362</v>
      </c>
      <c r="AM229" s="28">
        <f>+Y229-AE229</f>
        <v>895</v>
      </c>
    </row>
    <row r="230" spans="1:39" s="1" customFormat="1" ht="12" customHeight="1" thickBot="1" x14ac:dyDescent="0.25">
      <c r="A230" s="26"/>
      <c r="B230" s="26"/>
      <c r="C230" s="26"/>
      <c r="D230" s="26"/>
      <c r="E230" s="26"/>
      <c r="F230" s="26"/>
      <c r="G230" s="26" t="s">
        <v>238</v>
      </c>
      <c r="H230" s="28"/>
      <c r="I230" s="33">
        <v>2014</v>
      </c>
      <c r="J230" s="28"/>
      <c r="K230" s="33">
        <v>3342</v>
      </c>
      <c r="L230" s="28"/>
      <c r="M230" s="33">
        <v>1273</v>
      </c>
      <c r="N230" s="28"/>
      <c r="O230" s="33">
        <v>4034.85</v>
      </c>
      <c r="P230" s="33"/>
      <c r="Q230" s="33">
        <v>2358.4299999999998</v>
      </c>
      <c r="R230" s="33"/>
      <c r="S230" s="14">
        <v>1295.43</v>
      </c>
      <c r="T230" s="11"/>
      <c r="U230" s="11"/>
      <c r="V230" s="9"/>
      <c r="W230" s="13">
        <v>2198.91</v>
      </c>
      <c r="X230" s="9"/>
      <c r="Y230" s="14">
        <v>1800</v>
      </c>
      <c r="AA230" s="14">
        <v>1000</v>
      </c>
      <c r="AC230" s="33">
        <f>AVERAGE(K230:S230)</f>
        <v>2460.7420000000002</v>
      </c>
      <c r="AD230" s="33">
        <f>MAX(K230:S230)</f>
        <v>4034.85</v>
      </c>
      <c r="AE230" s="33">
        <f>MIN(K230:S230)</f>
        <v>1273</v>
      </c>
      <c r="AG230" s="33">
        <f>+W230-AC230</f>
        <v>-261.83200000000033</v>
      </c>
      <c r="AH230" s="33">
        <f>+W230-AD230</f>
        <v>-1835.94</v>
      </c>
      <c r="AI230" s="33">
        <f>+W230-AE230</f>
        <v>925.90999999999985</v>
      </c>
      <c r="AK230" s="33">
        <f>+Y230-AC230</f>
        <v>-660.74200000000019</v>
      </c>
      <c r="AL230" s="33">
        <f>+Y230-AD230</f>
        <v>-2234.85</v>
      </c>
      <c r="AM230" s="33">
        <f>+Y230-AE230</f>
        <v>527</v>
      </c>
    </row>
    <row r="231" spans="1:39" s="1" customFormat="1" ht="11.25" customHeight="1" x14ac:dyDescent="0.2">
      <c r="A231" s="26"/>
      <c r="B231" s="26"/>
      <c r="C231" s="26"/>
      <c r="D231" s="26"/>
      <c r="E231" s="26"/>
      <c r="F231" s="26" t="s">
        <v>239</v>
      </c>
      <c r="G231" s="26"/>
      <c r="H231" s="28"/>
      <c r="I231" s="28">
        <f>ROUND(SUM(I228:I230),5)</f>
        <v>5377</v>
      </c>
      <c r="J231" s="28"/>
      <c r="K231" s="28">
        <f>ROUND(SUM(K228:K230),5)</f>
        <v>6047</v>
      </c>
      <c r="L231" s="28"/>
      <c r="M231" s="28">
        <f>ROUND(SUM(M228:M230),5)</f>
        <v>9235</v>
      </c>
      <c r="N231" s="28"/>
      <c r="O231" s="28">
        <f>ROUND(SUM(O228:O230),5)</f>
        <v>8026.73</v>
      </c>
      <c r="P231" s="28"/>
      <c r="Q231" s="28">
        <f>ROUND(SUM(Q228:Q230),5)</f>
        <v>5810.77</v>
      </c>
      <c r="R231" s="28"/>
      <c r="S231" s="9">
        <f>ROUND(SUM(S228:S230),5)</f>
        <v>4084.15</v>
      </c>
      <c r="T231" s="9"/>
      <c r="U231" s="9"/>
      <c r="V231" s="9"/>
      <c r="W231" s="9">
        <f>ROUND(SUM(W228:W230),5)</f>
        <v>4144.63</v>
      </c>
      <c r="X231" s="9"/>
      <c r="Y231" s="9">
        <f>ROUND(SUM(Y228:Y230),5)</f>
        <v>5400</v>
      </c>
      <c r="AA231" s="9">
        <f>ROUND(SUM(AA228:AA230),5)</f>
        <v>4000</v>
      </c>
      <c r="AC231" s="28">
        <f t="shared" ref="AC231:AE231" si="129">ROUND(SUM(AC228:AC230),5)</f>
        <v>6640.73</v>
      </c>
      <c r="AD231" s="28">
        <f t="shared" si="129"/>
        <v>11996.85</v>
      </c>
      <c r="AE231" s="28">
        <f t="shared" si="129"/>
        <v>3978</v>
      </c>
      <c r="AG231" s="28">
        <f t="shared" ref="AG231:AI231" si="130">ROUND(SUM(AG228:AG230),5)</f>
        <v>-2496.1</v>
      </c>
      <c r="AH231" s="28">
        <f t="shared" si="130"/>
        <v>-7852.22</v>
      </c>
      <c r="AI231" s="28">
        <f t="shared" si="130"/>
        <v>166.63</v>
      </c>
      <c r="AK231" s="28">
        <f t="shared" ref="AK231:AM231" si="131">ROUND(SUM(AK228:AK230),5)</f>
        <v>-1240.73</v>
      </c>
      <c r="AL231" s="28">
        <f t="shared" si="131"/>
        <v>-6596.85</v>
      </c>
      <c r="AM231" s="28">
        <f t="shared" si="131"/>
        <v>1422</v>
      </c>
    </row>
    <row r="232" spans="1:39" s="1" customFormat="1" ht="11.25" customHeight="1" x14ac:dyDescent="0.2">
      <c r="A232" s="26"/>
      <c r="B232" s="26"/>
      <c r="C232" s="26"/>
      <c r="D232" s="26"/>
      <c r="E232" s="26"/>
      <c r="F232" s="26" t="s">
        <v>240</v>
      </c>
      <c r="G232" s="26"/>
      <c r="H232" s="28"/>
      <c r="I232" s="28"/>
      <c r="J232" s="28"/>
      <c r="K232" s="28"/>
      <c r="L232" s="28"/>
      <c r="M232" s="28"/>
      <c r="N232" s="28"/>
      <c r="O232" s="28"/>
      <c r="P232" s="28"/>
      <c r="Q232" s="28"/>
      <c r="R232" s="28"/>
      <c r="S232" s="9"/>
      <c r="T232" s="9"/>
      <c r="U232" s="9"/>
      <c r="V232" s="9"/>
      <c r="W232" s="9"/>
      <c r="X232" s="9"/>
      <c r="Y232" s="9"/>
      <c r="AA232" s="9"/>
      <c r="AC232" s="28"/>
      <c r="AD232" s="28"/>
      <c r="AE232" s="28"/>
      <c r="AG232" s="28"/>
      <c r="AH232" s="28"/>
      <c r="AI232" s="28"/>
      <c r="AK232" s="28"/>
      <c r="AL232" s="28"/>
      <c r="AM232" s="28"/>
    </row>
    <row r="233" spans="1:39" s="1" customFormat="1" ht="11.25" customHeight="1" x14ac:dyDescent="0.2">
      <c r="A233" s="26"/>
      <c r="B233" s="26"/>
      <c r="C233" s="26"/>
      <c r="D233" s="26"/>
      <c r="E233" s="26"/>
      <c r="F233" s="26"/>
      <c r="G233" s="26" t="s">
        <v>241</v>
      </c>
      <c r="H233" s="28"/>
      <c r="I233" s="28">
        <v>1315</v>
      </c>
      <c r="J233" s="28"/>
      <c r="K233" s="28">
        <v>1138</v>
      </c>
      <c r="L233" s="28"/>
      <c r="M233" s="28">
        <v>1070</v>
      </c>
      <c r="N233" s="28"/>
      <c r="O233" s="28">
        <v>793.64</v>
      </c>
      <c r="P233" s="28"/>
      <c r="Q233" s="28">
        <v>826.41</v>
      </c>
      <c r="R233" s="28"/>
      <c r="S233" s="9">
        <v>0</v>
      </c>
      <c r="T233" s="9"/>
      <c r="U233" s="9"/>
      <c r="V233" s="9"/>
      <c r="W233" s="9"/>
      <c r="X233" s="9"/>
      <c r="Y233" s="9">
        <v>0</v>
      </c>
      <c r="AA233" s="9">
        <v>0</v>
      </c>
      <c r="AC233" s="28">
        <f>AVERAGE(K233:S233)</f>
        <v>765.6099999999999</v>
      </c>
      <c r="AD233" s="28">
        <f>MAX(K233:S233)</f>
        <v>1138</v>
      </c>
      <c r="AE233" s="28">
        <f>MIN(K233:S233)</f>
        <v>0</v>
      </c>
      <c r="AG233" s="28">
        <f>+W233-AC233</f>
        <v>-765.6099999999999</v>
      </c>
      <c r="AH233" s="28">
        <f>+W233-AD233</f>
        <v>-1138</v>
      </c>
      <c r="AI233" s="28">
        <f>+W233-AE233</f>
        <v>0</v>
      </c>
      <c r="AK233" s="28">
        <f>+Y233-AC233</f>
        <v>-765.6099999999999</v>
      </c>
      <c r="AL233" s="28">
        <f>+Y233-AD233</f>
        <v>-1138</v>
      </c>
      <c r="AM233" s="28">
        <f>+Y233-AE233</f>
        <v>0</v>
      </c>
    </row>
    <row r="234" spans="1:39" s="1" customFormat="1" ht="11.25" customHeight="1" x14ac:dyDescent="0.2">
      <c r="A234" s="26"/>
      <c r="B234" s="26"/>
      <c r="C234" s="26"/>
      <c r="D234" s="26"/>
      <c r="E234" s="26"/>
      <c r="F234" s="26"/>
      <c r="G234" s="26" t="s">
        <v>242</v>
      </c>
      <c r="H234" s="28"/>
      <c r="I234" s="28">
        <v>2131</v>
      </c>
      <c r="J234" s="28"/>
      <c r="K234" s="28">
        <v>6804</v>
      </c>
      <c r="L234" s="28"/>
      <c r="M234" s="28">
        <v>15013</v>
      </c>
      <c r="N234" s="28"/>
      <c r="O234" s="28">
        <f>17588.3+1319.17</f>
        <v>18907.47</v>
      </c>
      <c r="P234" s="28"/>
      <c r="Q234" s="28">
        <v>7455.28</v>
      </c>
      <c r="R234" s="28"/>
      <c r="S234" s="9">
        <v>2318.02</v>
      </c>
      <c r="T234" s="9"/>
      <c r="U234" s="9"/>
      <c r="V234" s="9"/>
      <c r="W234" s="8">
        <v>1493.95</v>
      </c>
      <c r="X234" s="9"/>
      <c r="Y234" s="9">
        <v>11000</v>
      </c>
      <c r="AA234" s="9">
        <v>4000</v>
      </c>
      <c r="AC234" s="28">
        <f>AVERAGE(K234:S234)</f>
        <v>10099.554</v>
      </c>
      <c r="AD234" s="28">
        <f>MAX(K234:S234)</f>
        <v>18907.47</v>
      </c>
      <c r="AE234" s="28">
        <f>MIN(K234:S234)</f>
        <v>2318.02</v>
      </c>
      <c r="AG234" s="28">
        <f>+W234-AC234</f>
        <v>-8605.6039999999994</v>
      </c>
      <c r="AH234" s="28">
        <f>+W234-AD234</f>
        <v>-17413.52</v>
      </c>
      <c r="AI234" s="28">
        <f>+W234-AE234</f>
        <v>-824.06999999999994</v>
      </c>
      <c r="AK234" s="28">
        <f>+Y234-AC234</f>
        <v>900.44599999999991</v>
      </c>
      <c r="AL234" s="28">
        <f>+Y234-AD234</f>
        <v>-7907.4700000000012</v>
      </c>
      <c r="AM234" s="28">
        <f>+Y234-AE234</f>
        <v>8681.98</v>
      </c>
    </row>
    <row r="235" spans="1:39" s="1" customFormat="1" ht="11.25" customHeight="1" x14ac:dyDescent="0.2">
      <c r="A235" s="26"/>
      <c r="B235" s="26"/>
      <c r="C235" s="26"/>
      <c r="D235" s="26"/>
      <c r="E235" s="26"/>
      <c r="F235" s="26"/>
      <c r="G235" s="26" t="s">
        <v>243</v>
      </c>
      <c r="H235" s="28"/>
      <c r="I235" s="28"/>
      <c r="J235" s="28"/>
      <c r="K235" s="28"/>
      <c r="L235" s="28"/>
      <c r="M235" s="28"/>
      <c r="N235" s="28"/>
      <c r="O235" s="28"/>
      <c r="P235" s="28"/>
      <c r="Q235" s="28"/>
      <c r="R235" s="28"/>
      <c r="S235" s="9">
        <v>158</v>
      </c>
      <c r="T235" s="9"/>
      <c r="U235" s="9"/>
      <c r="V235" s="9"/>
      <c r="W235" s="8">
        <v>168.5</v>
      </c>
      <c r="X235" s="9"/>
      <c r="Y235" s="9"/>
      <c r="AA235" s="9">
        <v>150</v>
      </c>
      <c r="AC235" s="28">
        <f>AVERAGE(K235:S235)</f>
        <v>158</v>
      </c>
      <c r="AD235" s="28"/>
      <c r="AE235" s="28"/>
      <c r="AG235" s="28"/>
      <c r="AH235" s="28"/>
      <c r="AI235" s="28"/>
      <c r="AK235" s="28"/>
      <c r="AL235" s="28"/>
      <c r="AM235" s="28"/>
    </row>
    <row r="236" spans="1:39" s="1" customFormat="1" ht="12" customHeight="1" thickBot="1" x14ac:dyDescent="0.25">
      <c r="A236" s="26"/>
      <c r="B236" s="26"/>
      <c r="C236" s="26"/>
      <c r="D236" s="26"/>
      <c r="E236" s="26"/>
      <c r="F236" s="26"/>
      <c r="G236" s="26" t="s">
        <v>244</v>
      </c>
      <c r="H236" s="28"/>
      <c r="I236" s="31">
        <v>1922</v>
      </c>
      <c r="J236" s="28"/>
      <c r="K236" s="31">
        <v>3301</v>
      </c>
      <c r="L236" s="28"/>
      <c r="M236" s="31">
        <v>1489</v>
      </c>
      <c r="N236" s="28"/>
      <c r="O236" s="31">
        <v>1480.09</v>
      </c>
      <c r="P236" s="31"/>
      <c r="Q236" s="28">
        <v>331.22</v>
      </c>
      <c r="R236" s="28"/>
      <c r="S236" s="9">
        <v>19.989999999999998</v>
      </c>
      <c r="T236" s="11"/>
      <c r="U236" s="11"/>
      <c r="V236" s="9"/>
      <c r="W236" s="10">
        <v>3327.41</v>
      </c>
      <c r="X236" s="9"/>
      <c r="Y236" s="11">
        <v>2000</v>
      </c>
      <c r="AA236" s="11">
        <v>5000</v>
      </c>
      <c r="AC236" s="31">
        <f>AVERAGE(K236:S236)</f>
        <v>1324.26</v>
      </c>
      <c r="AD236" s="31">
        <f>MAX(K236:S236)</f>
        <v>3301</v>
      </c>
      <c r="AE236" s="31">
        <f>MIN(K236:S236)</f>
        <v>19.989999999999998</v>
      </c>
      <c r="AG236" s="31">
        <f>+W236-AC236</f>
        <v>2003.1499999999999</v>
      </c>
      <c r="AH236" s="31">
        <f>+W236-AD236</f>
        <v>26.409999999999854</v>
      </c>
      <c r="AI236" s="31">
        <f>+W236-AE236</f>
        <v>3307.42</v>
      </c>
      <c r="AK236" s="31">
        <f>+Y236-AC236</f>
        <v>675.74</v>
      </c>
      <c r="AL236" s="31">
        <f>+Y236-AD236</f>
        <v>-1301</v>
      </c>
      <c r="AM236" s="31">
        <f>+Y236-AE236</f>
        <v>1980.01</v>
      </c>
    </row>
    <row r="237" spans="1:39" s="1" customFormat="1" ht="12" customHeight="1" thickBot="1" x14ac:dyDescent="0.25">
      <c r="A237" s="26"/>
      <c r="B237" s="26"/>
      <c r="C237" s="26"/>
      <c r="D237" s="26"/>
      <c r="E237" s="26"/>
      <c r="F237" s="26" t="s">
        <v>245</v>
      </c>
      <c r="G237" s="26"/>
      <c r="H237" s="28"/>
      <c r="I237" s="32">
        <f>ROUND(SUM(I232:I236),5)</f>
        <v>5368</v>
      </c>
      <c r="J237" s="28"/>
      <c r="K237" s="32">
        <f>ROUND(SUM(K232:K236),5)</f>
        <v>11243</v>
      </c>
      <c r="L237" s="28"/>
      <c r="M237" s="32">
        <f>ROUND(SUM(M232:M236),5)</f>
        <v>17572</v>
      </c>
      <c r="N237" s="28"/>
      <c r="O237" s="32">
        <f>ROUND(SUM(O232:O236),5)</f>
        <v>21181.200000000001</v>
      </c>
      <c r="P237" s="32"/>
      <c r="Q237" s="32">
        <f>ROUND(SUM(Q232:Q236),5)</f>
        <v>8612.91</v>
      </c>
      <c r="R237" s="32"/>
      <c r="S237" s="12">
        <f>ROUND(SUM(S232:S236),5)</f>
        <v>2496.0100000000002</v>
      </c>
      <c r="T237" s="11"/>
      <c r="U237" s="11"/>
      <c r="V237" s="9"/>
      <c r="W237" s="12">
        <f>ROUND(SUM(W232:W236),5)</f>
        <v>4989.8599999999997</v>
      </c>
      <c r="X237" s="9"/>
      <c r="Y237" s="12">
        <f>ROUND(SUM(Y232:Y236),5)</f>
        <v>13000</v>
      </c>
      <c r="AA237" s="12">
        <f>ROUND(SUM(AA232:AA236),5)</f>
        <v>9150</v>
      </c>
      <c r="AC237" s="32">
        <f>ROUND(SUM(AC232:AC236),5)</f>
        <v>12347.424000000001</v>
      </c>
      <c r="AD237" s="32">
        <f>ROUND(SUM(AD232:AD236),5)</f>
        <v>23346.47</v>
      </c>
      <c r="AE237" s="32">
        <f>ROUND(SUM(AE232:AE236),5)</f>
        <v>2338.0100000000002</v>
      </c>
      <c r="AG237" s="32">
        <f>ROUND(SUM(AG232:AG236),5)</f>
        <v>-7368.0640000000003</v>
      </c>
      <c r="AH237" s="32">
        <f>ROUND(SUM(AH232:AH236),5)</f>
        <v>-18525.11</v>
      </c>
      <c r="AI237" s="32">
        <f>ROUND(SUM(AI232:AI236),5)</f>
        <v>2483.35</v>
      </c>
      <c r="AK237" s="32">
        <f>ROUND(SUM(AK232:AK236),5)</f>
        <v>810.57600000000002</v>
      </c>
      <c r="AL237" s="32">
        <f>ROUND(SUM(AL232:AL236),5)</f>
        <v>-10346.469999999999</v>
      </c>
      <c r="AM237" s="32">
        <f>ROUND(SUM(AM232:AM236),5)</f>
        <v>10661.99</v>
      </c>
    </row>
    <row r="238" spans="1:39" s="1" customFormat="1" ht="11.25" customHeight="1" x14ac:dyDescent="0.2">
      <c r="A238" s="26"/>
      <c r="B238" s="26"/>
      <c r="C238" s="26"/>
      <c r="D238" s="26"/>
      <c r="E238" s="35" t="s">
        <v>246</v>
      </c>
      <c r="F238" s="26"/>
      <c r="G238" s="26"/>
      <c r="H238" s="28"/>
      <c r="I238" s="28">
        <f>ROUND(I215+I223+I227+I231+I237,5)</f>
        <v>81154</v>
      </c>
      <c r="J238" s="28"/>
      <c r="K238" s="28">
        <f>ROUND(K215+K223+K227+K231+K237,5)</f>
        <v>99365</v>
      </c>
      <c r="L238" s="28"/>
      <c r="M238" s="28">
        <f>ROUND(M215+M223+M227+M231+M237,5)</f>
        <v>138646</v>
      </c>
      <c r="N238" s="28"/>
      <c r="O238" s="28">
        <f>ROUND(O215+O223+O227+O231+O237,5)</f>
        <v>153171.32</v>
      </c>
      <c r="P238" s="28"/>
      <c r="Q238" s="28">
        <f>ROUND(Q215+Q223+Q227+Q231+Q237,5)</f>
        <v>100823.47</v>
      </c>
      <c r="R238" s="28"/>
      <c r="S238" s="9">
        <f>ROUND(S215+S223+S227+S231+S237,5)</f>
        <v>86852.95</v>
      </c>
      <c r="T238" s="9"/>
      <c r="U238" s="9"/>
      <c r="V238" s="9"/>
      <c r="W238" s="9">
        <f>ROUND(W215+W223+W227+W231+W237,5)</f>
        <v>71241.47</v>
      </c>
      <c r="X238" s="9"/>
      <c r="Y238" s="9">
        <f>ROUND(Y215+Y223+Y227+Y231+Y237,5)</f>
        <v>108766</v>
      </c>
      <c r="AA238" s="9">
        <f>ROUND(AA215+AA223+AA227+AA231+AA237,5)</f>
        <v>97508.556599999996</v>
      </c>
      <c r="AC238" s="28">
        <f>ROUND(AC215+AC223+AC227+AC231+AC237,5)</f>
        <v>117985.06</v>
      </c>
      <c r="AD238" s="28">
        <f>ROUND(AD215+AD223+AD227+AD231+AD237,5)</f>
        <v>163706.19</v>
      </c>
      <c r="AE238" s="28">
        <f>ROUND(AE215+AE223+AE227+AE231+AE237,5)</f>
        <v>80358.070000000007</v>
      </c>
      <c r="AG238" s="28">
        <f>ROUND(AG215+AG223+AG227+AG231+AG237,5)</f>
        <v>-46754.09</v>
      </c>
      <c r="AH238" s="28">
        <f>ROUND(AH215+AH223+AH227+AH231+AH237,5)</f>
        <v>-94747.5</v>
      </c>
      <c r="AI238" s="28">
        <f>ROUND(AI215+AI223+AI227+AI231+AI237,5)</f>
        <v>-9413.3799999999992</v>
      </c>
      <c r="AK238" s="28">
        <f>ROUND(AK215+AK223+AK227+AK231+AK237,5)</f>
        <v>-9069.16</v>
      </c>
      <c r="AL238" s="28">
        <f>ROUND(AL215+AL223+AL227+AL231+AL237,5)</f>
        <v>-58985.19</v>
      </c>
      <c r="AM238" s="28">
        <f>ROUND(AM215+AM223+AM227+AM231+AM237,5)</f>
        <v>28207.93</v>
      </c>
    </row>
    <row r="239" spans="1:39" s="1" customFormat="1" ht="11.25" customHeight="1" x14ac:dyDescent="0.2">
      <c r="A239" s="26"/>
      <c r="B239" s="26"/>
      <c r="C239" s="26"/>
      <c r="D239" s="26"/>
      <c r="E239" s="26"/>
      <c r="F239" s="26"/>
      <c r="G239" s="26"/>
      <c r="H239" s="28"/>
      <c r="I239" s="28"/>
      <c r="J239" s="28"/>
      <c r="K239" s="28"/>
      <c r="L239" s="28"/>
      <c r="M239" s="28"/>
      <c r="N239" s="28"/>
      <c r="O239" s="28"/>
      <c r="P239" s="28"/>
      <c r="Q239" s="28"/>
      <c r="R239" s="28"/>
      <c r="S239" s="9"/>
      <c r="T239" s="9"/>
      <c r="U239" s="9"/>
      <c r="V239" s="9"/>
      <c r="W239" s="9"/>
      <c r="X239" s="9"/>
      <c r="Y239" s="9"/>
      <c r="AA239" s="9"/>
      <c r="AC239" s="28"/>
      <c r="AD239" s="28"/>
      <c r="AE239" s="28"/>
      <c r="AG239" s="28"/>
      <c r="AH239" s="28"/>
      <c r="AI239" s="28"/>
      <c r="AK239" s="28"/>
      <c r="AL239" s="28"/>
      <c r="AM239" s="28"/>
    </row>
    <row r="240" spans="1:39" s="1" customFormat="1" ht="11.25" customHeight="1" x14ac:dyDescent="0.2">
      <c r="A240" s="26"/>
      <c r="B240" s="26"/>
      <c r="C240" s="26"/>
      <c r="D240" s="26"/>
      <c r="E240" s="35" t="s">
        <v>247</v>
      </c>
      <c r="F240" s="26"/>
      <c r="G240" s="26"/>
      <c r="H240" s="28"/>
      <c r="I240" s="28"/>
      <c r="J240" s="28"/>
      <c r="K240" s="28"/>
      <c r="L240" s="28"/>
      <c r="M240" s="28"/>
      <c r="N240" s="28"/>
      <c r="O240" s="28"/>
      <c r="P240" s="28"/>
      <c r="Q240" s="28"/>
      <c r="R240" s="28"/>
      <c r="S240" s="9"/>
      <c r="T240" s="9"/>
      <c r="U240" s="9"/>
      <c r="V240" s="9"/>
      <c r="W240" s="9"/>
      <c r="X240" s="9"/>
      <c r="Y240" s="9"/>
      <c r="AA240" s="9"/>
      <c r="AC240" s="28"/>
      <c r="AD240" s="28"/>
      <c r="AE240" s="28"/>
      <c r="AG240" s="28"/>
      <c r="AH240" s="28"/>
      <c r="AI240" s="28"/>
      <c r="AK240" s="28"/>
      <c r="AL240" s="28"/>
      <c r="AM240" s="28"/>
    </row>
    <row r="241" spans="1:39" s="1" customFormat="1" ht="11.25" customHeight="1" x14ac:dyDescent="0.2">
      <c r="A241" s="26"/>
      <c r="B241" s="26"/>
      <c r="C241" s="26"/>
      <c r="D241" s="26"/>
      <c r="E241" s="26"/>
      <c r="F241" s="26" t="s">
        <v>248</v>
      </c>
      <c r="G241" s="26"/>
      <c r="H241" s="28"/>
      <c r="I241" s="28"/>
      <c r="J241" s="28"/>
      <c r="K241" s="28"/>
      <c r="L241" s="28"/>
      <c r="M241" s="28"/>
      <c r="N241" s="28"/>
      <c r="O241" s="28"/>
      <c r="P241" s="28"/>
      <c r="Q241" s="28"/>
      <c r="R241" s="28"/>
      <c r="S241" s="9"/>
      <c r="T241" s="9"/>
      <c r="U241" s="9"/>
      <c r="V241" s="9"/>
      <c r="W241" s="9"/>
      <c r="X241" s="9"/>
      <c r="Y241" s="9"/>
      <c r="AA241" s="9"/>
      <c r="AC241" s="28"/>
      <c r="AD241" s="28"/>
      <c r="AE241" s="28"/>
      <c r="AG241" s="28"/>
      <c r="AH241" s="28"/>
      <c r="AI241" s="28"/>
      <c r="AK241" s="28"/>
      <c r="AL241" s="28"/>
      <c r="AM241" s="28"/>
    </row>
    <row r="242" spans="1:39" s="1" customFormat="1" ht="11.25" customHeight="1" x14ac:dyDescent="0.2">
      <c r="A242" s="26"/>
      <c r="B242" s="26"/>
      <c r="C242" s="26"/>
      <c r="D242" s="26"/>
      <c r="E242" s="26"/>
      <c r="F242" s="26"/>
      <c r="G242" s="26" t="s">
        <v>249</v>
      </c>
      <c r="H242" s="28"/>
      <c r="I242" s="28">
        <v>53057</v>
      </c>
      <c r="J242" s="28"/>
      <c r="K242" s="28">
        <v>53544</v>
      </c>
      <c r="L242" s="28"/>
      <c r="M242" s="28">
        <v>57591</v>
      </c>
      <c r="N242" s="28"/>
      <c r="O242" s="28">
        <v>205716.39</v>
      </c>
      <c r="P242" s="28"/>
      <c r="Q242" s="28">
        <v>69949.41</v>
      </c>
      <c r="R242" s="28"/>
      <c r="S242" s="9">
        <v>84599.17</v>
      </c>
      <c r="T242" s="9"/>
      <c r="U242" s="9"/>
      <c r="V242" s="9"/>
      <c r="W242" s="8">
        <v>66325.210000000006</v>
      </c>
      <c r="X242" s="9"/>
      <c r="Y242" s="9">
        <v>83977</v>
      </c>
      <c r="AA242" s="9">
        <v>83977</v>
      </c>
      <c r="AC242" s="28">
        <f t="shared" ref="AC242:AC247" si="132">AVERAGE(K242:S242)</f>
        <v>94279.994000000006</v>
      </c>
      <c r="AD242" s="28">
        <f>MAX(K242:S242)</f>
        <v>205716.39</v>
      </c>
      <c r="AE242" s="28">
        <f>MIN(K242:S242)</f>
        <v>53544</v>
      </c>
      <c r="AG242" s="28">
        <f t="shared" ref="AG242:AG247" si="133">+W242-AC242</f>
        <v>-27954.784</v>
      </c>
      <c r="AH242" s="28">
        <f>+W242-AD242</f>
        <v>-139391.18</v>
      </c>
      <c r="AI242" s="28">
        <f>+W242-AE242</f>
        <v>12781.210000000006</v>
      </c>
      <c r="AK242" s="28">
        <f>+Y242-AC242</f>
        <v>-10302.994000000006</v>
      </c>
      <c r="AL242" s="28">
        <f>+Y242-AD242</f>
        <v>-121739.39000000001</v>
      </c>
      <c r="AM242" s="28">
        <f>+Y242-AE242</f>
        <v>30433</v>
      </c>
    </row>
    <row r="243" spans="1:39" s="1" customFormat="1" ht="11.25" customHeight="1" x14ac:dyDescent="0.2">
      <c r="A243" s="26"/>
      <c r="B243" s="26"/>
      <c r="C243" s="26"/>
      <c r="D243" s="26"/>
      <c r="E243" s="26"/>
      <c r="F243" s="26"/>
      <c r="G243" s="26" t="s">
        <v>250</v>
      </c>
      <c r="H243" s="28"/>
      <c r="I243" s="28">
        <v>4527</v>
      </c>
      <c r="J243" s="28"/>
      <c r="K243" s="28">
        <v>4593</v>
      </c>
      <c r="L243" s="28"/>
      <c r="M243" s="28">
        <v>4903</v>
      </c>
      <c r="N243" s="28"/>
      <c r="O243" s="28">
        <v>18528.79</v>
      </c>
      <c r="P243" s="28"/>
      <c r="Q243" s="28">
        <v>5861.83</v>
      </c>
      <c r="R243" s="28"/>
      <c r="S243" s="9">
        <v>7145.76</v>
      </c>
      <c r="T243" s="9"/>
      <c r="U243" s="9"/>
      <c r="V243" s="9"/>
      <c r="W243" s="8">
        <v>5834.75</v>
      </c>
      <c r="X243" s="9"/>
      <c r="Y243" s="9">
        <v>6425</v>
      </c>
      <c r="AA243" s="9">
        <f>+AA242*0.0765</f>
        <v>6424.2404999999999</v>
      </c>
      <c r="AC243" s="28">
        <f t="shared" si="132"/>
        <v>8206.4760000000006</v>
      </c>
      <c r="AD243" s="28">
        <f>MAX(K243:S243)</f>
        <v>18528.79</v>
      </c>
      <c r="AE243" s="28">
        <f>MIN(K243:S243)</f>
        <v>4593</v>
      </c>
      <c r="AG243" s="28">
        <f t="shared" si="133"/>
        <v>-2371.7260000000006</v>
      </c>
      <c r="AH243" s="28">
        <f>+W243-AD243</f>
        <v>-12694.04</v>
      </c>
      <c r="AI243" s="28">
        <f>+W243-AE243</f>
        <v>1241.75</v>
      </c>
      <c r="AK243" s="28">
        <f>+Y243-AC243</f>
        <v>-1781.4760000000006</v>
      </c>
      <c r="AL243" s="28">
        <f>+Y243-AD243</f>
        <v>-12103.79</v>
      </c>
      <c r="AM243" s="28">
        <f>+Y243-AE243</f>
        <v>1832</v>
      </c>
    </row>
    <row r="244" spans="1:39" s="16" customFormat="1" ht="11.25" customHeight="1" x14ac:dyDescent="0.2">
      <c r="A244" s="26"/>
      <c r="B244" s="26"/>
      <c r="C244" s="26"/>
      <c r="D244" s="26"/>
      <c r="E244" s="26"/>
      <c r="F244" s="26"/>
      <c r="G244" s="26" t="s">
        <v>251</v>
      </c>
      <c r="H244" s="31"/>
      <c r="I244" s="31">
        <v>8041</v>
      </c>
      <c r="J244" s="31"/>
      <c r="K244" s="31">
        <v>8829</v>
      </c>
      <c r="L244" s="31"/>
      <c r="M244" s="31">
        <v>7750</v>
      </c>
      <c r="N244" s="31"/>
      <c r="O244" s="31">
        <v>33199.839999999997</v>
      </c>
      <c r="P244" s="31"/>
      <c r="Q244" s="28">
        <v>31695.01</v>
      </c>
      <c r="R244" s="28"/>
      <c r="S244" s="9">
        <v>32769</v>
      </c>
      <c r="T244" s="11"/>
      <c r="U244" s="11"/>
      <c r="V244" s="11"/>
      <c r="W244" s="8">
        <v>30255.69</v>
      </c>
      <c r="X244" s="11"/>
      <c r="Y244" s="11">
        <v>32917</v>
      </c>
      <c r="AA244" s="11">
        <v>33541</v>
      </c>
      <c r="AC244" s="31">
        <f t="shared" si="132"/>
        <v>22848.57</v>
      </c>
      <c r="AD244" s="31">
        <f>MAX(K244:S244)</f>
        <v>33199.839999999997</v>
      </c>
      <c r="AE244" s="31">
        <f>MIN(K244:S244)</f>
        <v>7750</v>
      </c>
      <c r="AF244" s="1"/>
      <c r="AG244" s="31">
        <f t="shared" si="133"/>
        <v>7407.119999999999</v>
      </c>
      <c r="AH244" s="31">
        <f>+W244-AD244</f>
        <v>-2944.1499999999978</v>
      </c>
      <c r="AI244" s="31">
        <f>+W244-AE244</f>
        <v>22505.69</v>
      </c>
      <c r="AJ244" s="1"/>
      <c r="AK244" s="31">
        <f>+Y244-AC244</f>
        <v>10068.43</v>
      </c>
      <c r="AL244" s="31">
        <f>+Y244-AD244</f>
        <v>-282.83999999999651</v>
      </c>
      <c r="AM244" s="31">
        <f>+Y244-AE244</f>
        <v>25167</v>
      </c>
    </row>
    <row r="245" spans="1:39" s="16" customFormat="1" ht="11.25" customHeight="1" x14ac:dyDescent="0.2">
      <c r="A245" s="26"/>
      <c r="B245" s="26"/>
      <c r="C245" s="26"/>
      <c r="D245" s="26"/>
      <c r="E245" s="26"/>
      <c r="F245" s="26"/>
      <c r="G245" s="26" t="s">
        <v>252</v>
      </c>
      <c r="H245" s="31"/>
      <c r="I245" s="31"/>
      <c r="J245" s="31"/>
      <c r="K245" s="31"/>
      <c r="L245" s="31"/>
      <c r="M245" s="31"/>
      <c r="N245" s="31"/>
      <c r="O245" s="31"/>
      <c r="P245" s="31"/>
      <c r="Q245" s="28">
        <v>1143.0999999999999</v>
      </c>
      <c r="R245" s="28"/>
      <c r="S245" s="9">
        <v>1218.9000000000001</v>
      </c>
      <c r="T245" s="11"/>
      <c r="U245" s="11"/>
      <c r="V245" s="11"/>
      <c r="W245" s="8">
        <v>1109.72</v>
      </c>
      <c r="X245" s="11"/>
      <c r="Y245" s="11">
        <v>1256</v>
      </c>
      <c r="AA245" s="11">
        <v>1319</v>
      </c>
      <c r="AC245" s="31">
        <f t="shared" si="132"/>
        <v>1181</v>
      </c>
      <c r="AD245" s="31">
        <f>MAX(K245:S245)</f>
        <v>1218.9000000000001</v>
      </c>
      <c r="AE245" s="31">
        <f>MIN(K245:S245)</f>
        <v>1143.0999999999999</v>
      </c>
      <c r="AF245" s="1"/>
      <c r="AG245" s="31">
        <f t="shared" si="133"/>
        <v>-71.279999999999973</v>
      </c>
      <c r="AH245" s="31">
        <f>+W245-AD245</f>
        <v>-109.18000000000006</v>
      </c>
      <c r="AI245" s="31">
        <f>+W245-AE245</f>
        <v>-33.379999999999882</v>
      </c>
      <c r="AJ245" s="1"/>
      <c r="AK245" s="31">
        <f>+Y245-AC245</f>
        <v>75</v>
      </c>
      <c r="AL245" s="31">
        <f>+Y245-AD245</f>
        <v>37.099999999999909</v>
      </c>
      <c r="AM245" s="31">
        <f>+Y245-AE245</f>
        <v>112.90000000000009</v>
      </c>
    </row>
    <row r="246" spans="1:39" s="16" customFormat="1" ht="11.25" customHeight="1" x14ac:dyDescent="0.2">
      <c r="A246" s="26"/>
      <c r="B246" s="26"/>
      <c r="C246" s="26"/>
      <c r="D246" s="26"/>
      <c r="E246" s="26"/>
      <c r="F246" s="26"/>
      <c r="G246" s="26" t="s">
        <v>253</v>
      </c>
      <c r="H246" s="31"/>
      <c r="I246" s="31"/>
      <c r="J246" s="31"/>
      <c r="K246" s="31"/>
      <c r="L246" s="31"/>
      <c r="M246" s="31"/>
      <c r="N246" s="31"/>
      <c r="O246" s="31"/>
      <c r="P246" s="31"/>
      <c r="Q246" s="28"/>
      <c r="R246" s="28"/>
      <c r="S246" s="9">
        <v>188</v>
      </c>
      <c r="T246" s="11"/>
      <c r="U246" s="11"/>
      <c r="V246" s="11"/>
      <c r="W246" s="8">
        <v>0</v>
      </c>
      <c r="X246" s="11"/>
      <c r="Y246" s="11">
        <v>200</v>
      </c>
      <c r="AA246" s="11">
        <v>200</v>
      </c>
      <c r="AC246" s="31">
        <f t="shared" si="132"/>
        <v>188</v>
      </c>
      <c r="AD246" s="31"/>
      <c r="AE246" s="31"/>
      <c r="AF246" s="1"/>
      <c r="AG246" s="31">
        <f t="shared" si="133"/>
        <v>-188</v>
      </c>
      <c r="AH246" s="31"/>
      <c r="AI246" s="31"/>
      <c r="AJ246" s="1"/>
      <c r="AK246" s="31"/>
      <c r="AL246" s="31"/>
      <c r="AM246" s="31"/>
    </row>
    <row r="247" spans="1:39" s="1" customFormat="1" ht="12" customHeight="1" thickBot="1" x14ac:dyDescent="0.25">
      <c r="A247" s="26"/>
      <c r="B247" s="26"/>
      <c r="C247" s="26"/>
      <c r="D247" s="26"/>
      <c r="E247" s="26"/>
      <c r="F247" s="26"/>
      <c r="G247" s="26" t="s">
        <v>254</v>
      </c>
      <c r="H247" s="28"/>
      <c r="I247" s="33"/>
      <c r="J247" s="28"/>
      <c r="K247" s="33"/>
      <c r="L247" s="28"/>
      <c r="M247" s="33"/>
      <c r="N247" s="28"/>
      <c r="O247" s="33"/>
      <c r="P247" s="33"/>
      <c r="Q247" s="33">
        <v>0</v>
      </c>
      <c r="R247" s="33"/>
      <c r="S247" s="14">
        <v>596.25</v>
      </c>
      <c r="T247" s="11"/>
      <c r="U247" s="11"/>
      <c r="V247" s="9"/>
      <c r="W247" s="13">
        <v>324</v>
      </c>
      <c r="X247" s="9"/>
      <c r="Y247" s="14">
        <v>646</v>
      </c>
      <c r="AA247" s="14">
        <f>+AA242*0.79/100</f>
        <v>663.41830000000004</v>
      </c>
      <c r="AC247" s="33">
        <f t="shared" si="132"/>
        <v>298.125</v>
      </c>
      <c r="AD247" s="33">
        <f>MAX(K247:S247)</f>
        <v>596.25</v>
      </c>
      <c r="AE247" s="33">
        <f>MIN(K247:S247)</f>
        <v>0</v>
      </c>
      <c r="AG247" s="33">
        <f t="shared" si="133"/>
        <v>25.875</v>
      </c>
      <c r="AH247" s="33">
        <f>+W247-AD247</f>
        <v>-272.25</v>
      </c>
      <c r="AI247" s="33">
        <f>+W247-AE247</f>
        <v>324</v>
      </c>
      <c r="AK247" s="33">
        <f>+Y247-AC247</f>
        <v>347.875</v>
      </c>
      <c r="AL247" s="33">
        <f>+Y247-AD247</f>
        <v>49.75</v>
      </c>
      <c r="AM247" s="33">
        <f>+Y247-AE247</f>
        <v>646</v>
      </c>
    </row>
    <row r="248" spans="1:39" s="1" customFormat="1" ht="11.25" customHeight="1" x14ac:dyDescent="0.2">
      <c r="A248" s="26"/>
      <c r="B248" s="26"/>
      <c r="C248" s="26"/>
      <c r="D248" s="26"/>
      <c r="E248" s="26"/>
      <c r="F248" s="26" t="s">
        <v>255</v>
      </c>
      <c r="G248" s="26"/>
      <c r="H248" s="28"/>
      <c r="I248" s="28">
        <f>ROUND(SUM(I241:I247),5)</f>
        <v>65625</v>
      </c>
      <c r="J248" s="28"/>
      <c r="K248" s="28">
        <f>ROUND(SUM(K241:K247),5)</f>
        <v>66966</v>
      </c>
      <c r="L248" s="28"/>
      <c r="M248" s="28">
        <f>ROUND(SUM(M241:M247),5)</f>
        <v>70244</v>
      </c>
      <c r="N248" s="28"/>
      <c r="O248" s="28">
        <f>ROUND(SUM(O241:O247),5)</f>
        <v>257445.02</v>
      </c>
      <c r="P248" s="28"/>
      <c r="Q248" s="28">
        <f>ROUND(SUM(Q241:Q247),5)</f>
        <v>108649.35</v>
      </c>
      <c r="R248" s="28"/>
      <c r="S248" s="9">
        <f>ROUND(SUM(S241:S247),5)</f>
        <v>126517.08</v>
      </c>
      <c r="T248" s="9"/>
      <c r="U248" s="9"/>
      <c r="V248" s="9"/>
      <c r="W248" s="9">
        <f>ROUND(SUM(W241:W247),5)</f>
        <v>103849.37</v>
      </c>
      <c r="X248" s="9"/>
      <c r="Y248" s="9">
        <f>ROUND(SUM(Y241:Y247),5)</f>
        <v>125421</v>
      </c>
      <c r="AA248" s="9">
        <f>ROUND(SUM(AA241:AA247),5)</f>
        <v>126124.6588</v>
      </c>
      <c r="AC248" s="28">
        <f>ROUND(SUM(AC241:AC247),5)</f>
        <v>127002.16499999999</v>
      </c>
      <c r="AD248" s="28">
        <f>ROUND(SUM(AD241:AD247),5)</f>
        <v>259260.17</v>
      </c>
      <c r="AE248" s="28">
        <f>ROUND(SUM(AE241:AE247),5)</f>
        <v>67030.100000000006</v>
      </c>
      <c r="AG248" s="28">
        <f>ROUND(SUM(AG241:AG247),5)</f>
        <v>-23152.794999999998</v>
      </c>
      <c r="AH248" s="28">
        <f>ROUND(SUM(AH241:AH247),5)</f>
        <v>-155410.79999999999</v>
      </c>
      <c r="AI248" s="28">
        <f>ROUND(SUM(AI241:AI247),5)</f>
        <v>36819.269999999997</v>
      </c>
      <c r="AJ248" s="28"/>
      <c r="AK248" s="28">
        <f>ROUND(SUM(AK241:AK247),5)</f>
        <v>-1593.165</v>
      </c>
      <c r="AL248" s="28">
        <f>ROUND(SUM(AL241:AL247),5)</f>
        <v>-134039.17000000001</v>
      </c>
      <c r="AM248" s="28">
        <f>ROUND(SUM(AM241:AM247),5)</f>
        <v>58190.9</v>
      </c>
    </row>
    <row r="249" spans="1:39" s="1" customFormat="1" ht="11.25" customHeight="1" x14ac:dyDescent="0.2">
      <c r="A249" s="26"/>
      <c r="B249" s="26"/>
      <c r="C249" s="26"/>
      <c r="D249" s="26"/>
      <c r="E249" s="26"/>
      <c r="F249" s="30" t="s">
        <v>351</v>
      </c>
      <c r="G249" s="26"/>
      <c r="H249" s="28"/>
      <c r="I249" s="28"/>
      <c r="J249" s="28"/>
      <c r="K249" s="28"/>
      <c r="L249" s="28"/>
      <c r="M249" s="28"/>
      <c r="N249" s="28"/>
      <c r="O249" s="28"/>
      <c r="P249" s="28"/>
      <c r="Q249" s="28"/>
      <c r="R249" s="28"/>
      <c r="S249" s="9"/>
      <c r="T249" s="9"/>
      <c r="U249" s="9"/>
      <c r="V249" s="9"/>
      <c r="W249" s="9"/>
      <c r="X249" s="9"/>
      <c r="Y249" s="9"/>
      <c r="AA249" s="9"/>
      <c r="AC249" s="28"/>
      <c r="AD249" s="28"/>
      <c r="AE249" s="28"/>
      <c r="AG249" s="28"/>
      <c r="AH249" s="28"/>
      <c r="AI249" s="28"/>
      <c r="AK249" s="28"/>
      <c r="AL249" s="28"/>
      <c r="AM249" s="28"/>
    </row>
    <row r="250" spans="1:39" s="1" customFormat="1" ht="11.25" customHeight="1" x14ac:dyDescent="0.2">
      <c r="A250" s="26"/>
      <c r="B250" s="26"/>
      <c r="C250" s="26"/>
      <c r="D250" s="26"/>
      <c r="E250" s="26"/>
      <c r="F250" s="26"/>
      <c r="G250" s="26" t="s">
        <v>256</v>
      </c>
      <c r="H250" s="28"/>
      <c r="I250" s="28"/>
      <c r="J250" s="28"/>
      <c r="K250" s="28"/>
      <c r="L250" s="28"/>
      <c r="M250" s="28"/>
      <c r="N250" s="28"/>
      <c r="O250" s="28"/>
      <c r="P250" s="28"/>
      <c r="Q250" s="28">
        <v>86346.12</v>
      </c>
      <c r="R250" s="28"/>
      <c r="S250" s="9">
        <v>57536.82</v>
      </c>
      <c r="T250" s="9"/>
      <c r="U250" s="9"/>
      <c r="V250" s="9"/>
      <c r="W250" s="8">
        <v>15680.59</v>
      </c>
      <c r="X250" s="9"/>
      <c r="Y250" s="9">
        <v>82500</v>
      </c>
      <c r="AA250" s="9">
        <v>85000</v>
      </c>
      <c r="AC250" s="28">
        <f>AVERAGE(K250:S250)</f>
        <v>71941.47</v>
      </c>
      <c r="AD250" s="28">
        <f>MAX(K250:S250)</f>
        <v>86346.12</v>
      </c>
      <c r="AE250" s="28">
        <f>MIN(K250:S250)</f>
        <v>57536.82</v>
      </c>
      <c r="AG250" s="28">
        <f>+W250-AC250</f>
        <v>-56260.880000000005</v>
      </c>
      <c r="AH250" s="28">
        <f>+W250-AD250</f>
        <v>-70665.53</v>
      </c>
      <c r="AI250" s="28">
        <f>+W250-AE250</f>
        <v>-41856.229999999996</v>
      </c>
      <c r="AK250" s="28">
        <f>+Y250-AC250</f>
        <v>10558.529999999999</v>
      </c>
      <c r="AL250" s="28">
        <f>+Y250-AD250</f>
        <v>-3846.1199999999953</v>
      </c>
      <c r="AM250" s="28">
        <f>+Y250-AE250</f>
        <v>24963.18</v>
      </c>
    </row>
    <row r="251" spans="1:39" s="1" customFormat="1" ht="11.25" customHeight="1" x14ac:dyDescent="0.2">
      <c r="A251" s="26"/>
      <c r="B251" s="26"/>
      <c r="C251" s="26"/>
      <c r="D251" s="26"/>
      <c r="E251" s="26"/>
      <c r="F251" s="26"/>
      <c r="G251" s="26" t="s">
        <v>257</v>
      </c>
      <c r="H251" s="28"/>
      <c r="I251" s="28"/>
      <c r="J251" s="28"/>
      <c r="K251" s="28"/>
      <c r="L251" s="28"/>
      <c r="M251" s="28"/>
      <c r="N251" s="28"/>
      <c r="O251" s="28"/>
      <c r="P251" s="28"/>
      <c r="Q251" s="28">
        <v>7892.36</v>
      </c>
      <c r="R251" s="28"/>
      <c r="S251" s="9">
        <v>5303.14</v>
      </c>
      <c r="T251" s="9"/>
      <c r="U251" s="9"/>
      <c r="V251" s="9"/>
      <c r="W251" s="8">
        <v>2622.42</v>
      </c>
      <c r="X251" s="9"/>
      <c r="Y251" s="9">
        <v>6312</v>
      </c>
      <c r="AA251" s="9">
        <f>+AA250*0.09</f>
        <v>7650</v>
      </c>
      <c r="AC251" s="28">
        <f>AVERAGE(K251:S251)</f>
        <v>6597.75</v>
      </c>
      <c r="AD251" s="28">
        <f>MAX(K251:S251)</f>
        <v>7892.36</v>
      </c>
      <c r="AE251" s="28">
        <f>MIN(K251:S251)</f>
        <v>5303.14</v>
      </c>
      <c r="AG251" s="28">
        <f>+W251-AC251</f>
        <v>-3975.33</v>
      </c>
      <c r="AH251" s="28">
        <f>+W251-AD251</f>
        <v>-5269.94</v>
      </c>
      <c r="AI251" s="28">
        <f>+W251-AE251</f>
        <v>-2680.7200000000003</v>
      </c>
      <c r="AK251" s="28">
        <f>+Y251-AC251</f>
        <v>-285.75</v>
      </c>
      <c r="AL251" s="28">
        <f>+Y251-AD251</f>
        <v>-1580.3599999999997</v>
      </c>
      <c r="AM251" s="28">
        <f>+Y251-AE251</f>
        <v>1008.8599999999997</v>
      </c>
    </row>
    <row r="252" spans="1:39" s="16" customFormat="1" ht="11.25" customHeight="1" x14ac:dyDescent="0.2">
      <c r="A252" s="26"/>
      <c r="B252" s="26"/>
      <c r="C252" s="26"/>
      <c r="D252" s="26"/>
      <c r="E252" s="26"/>
      <c r="F252" s="26"/>
      <c r="G252" s="26" t="s">
        <v>258</v>
      </c>
      <c r="H252" s="31"/>
      <c r="I252" s="31"/>
      <c r="J252" s="31"/>
      <c r="K252" s="31"/>
      <c r="L252" s="31"/>
      <c r="M252" s="31"/>
      <c r="N252" s="31"/>
      <c r="O252" s="31"/>
      <c r="P252" s="31"/>
      <c r="Q252" s="28">
        <v>283.92</v>
      </c>
      <c r="R252" s="28"/>
      <c r="S252" s="9">
        <v>698.49</v>
      </c>
      <c r="T252" s="11"/>
      <c r="U252" s="11"/>
      <c r="V252" s="11"/>
      <c r="W252" s="8">
        <v>0</v>
      </c>
      <c r="X252" s="11"/>
      <c r="Y252" s="11">
        <v>700</v>
      </c>
      <c r="AA252" s="11">
        <v>1700</v>
      </c>
      <c r="AC252" s="31">
        <f>AVERAGE(K252:S252)</f>
        <v>491.20500000000004</v>
      </c>
      <c r="AD252" s="31">
        <f>MAX(K252:S252)</f>
        <v>698.49</v>
      </c>
      <c r="AE252" s="31">
        <f>MIN(K252:S252)</f>
        <v>283.92</v>
      </c>
      <c r="AF252" s="1"/>
      <c r="AG252" s="31">
        <f>+W252-AC252</f>
        <v>-491.20500000000004</v>
      </c>
      <c r="AH252" s="31">
        <f>+W252-AD252</f>
        <v>-698.49</v>
      </c>
      <c r="AI252" s="31">
        <f>+W252-AE252</f>
        <v>-283.92</v>
      </c>
      <c r="AJ252" s="1"/>
      <c r="AK252" s="31">
        <f>+Y252-AC252</f>
        <v>208.79499999999996</v>
      </c>
      <c r="AL252" s="31">
        <f>+Y252-AD252</f>
        <v>1.5099999999999909</v>
      </c>
      <c r="AM252" s="31">
        <f>+Y252-AE252</f>
        <v>416.08</v>
      </c>
    </row>
    <row r="253" spans="1:39" s="1" customFormat="1" ht="12" customHeight="1" thickBot="1" x14ac:dyDescent="0.25">
      <c r="A253" s="26"/>
      <c r="B253" s="26"/>
      <c r="C253" s="26"/>
      <c r="D253" s="26"/>
      <c r="E253" s="26"/>
      <c r="F253" s="26"/>
      <c r="G253" s="26" t="s">
        <v>259</v>
      </c>
      <c r="H253" s="28"/>
      <c r="I253" s="33"/>
      <c r="J253" s="28"/>
      <c r="K253" s="33"/>
      <c r="L253" s="28"/>
      <c r="M253" s="33"/>
      <c r="N253" s="28"/>
      <c r="O253" s="33"/>
      <c r="P253" s="33"/>
      <c r="Q253" s="33">
        <v>0</v>
      </c>
      <c r="R253" s="33"/>
      <c r="S253" s="14">
        <v>621</v>
      </c>
      <c r="T253" s="11"/>
      <c r="U253" s="11"/>
      <c r="V253" s="9"/>
      <c r="W253" s="13">
        <v>333.2</v>
      </c>
      <c r="X253" s="9"/>
      <c r="Y253" s="14">
        <v>652</v>
      </c>
      <c r="AA253" s="14">
        <f>0.79*AA250/100</f>
        <v>671.5</v>
      </c>
      <c r="AC253" s="33">
        <f>AVERAGE(K253:S253)</f>
        <v>310.5</v>
      </c>
      <c r="AD253" s="33">
        <f>MAX(K253:S253)</f>
        <v>621</v>
      </c>
      <c r="AE253" s="33">
        <f>MIN(K253:S253)</f>
        <v>0</v>
      </c>
      <c r="AG253" s="33">
        <f>+W253-AC253</f>
        <v>22.699999999999989</v>
      </c>
      <c r="AH253" s="33">
        <f>+W253-AD253</f>
        <v>-287.8</v>
      </c>
      <c r="AI253" s="33">
        <f>+W253-AE253</f>
        <v>333.2</v>
      </c>
      <c r="AK253" s="33">
        <f>+Y253-AC253</f>
        <v>341.5</v>
      </c>
      <c r="AL253" s="33">
        <f>+Y253-AD253</f>
        <v>31</v>
      </c>
      <c r="AM253" s="33">
        <f>+Y253-AE253</f>
        <v>652</v>
      </c>
    </row>
    <row r="254" spans="1:39" s="1" customFormat="1" ht="11.25" customHeight="1" x14ac:dyDescent="0.2">
      <c r="A254" s="26"/>
      <c r="B254" s="26"/>
      <c r="C254" s="26"/>
      <c r="D254" s="26"/>
      <c r="E254" s="26"/>
      <c r="F254" s="26" t="s">
        <v>260</v>
      </c>
      <c r="G254" s="26"/>
      <c r="H254" s="28"/>
      <c r="I254" s="28">
        <f>ROUND(SUM(I249:I253),5)</f>
        <v>0</v>
      </c>
      <c r="J254" s="28"/>
      <c r="K254" s="28">
        <f>ROUND(SUM(K249:K253),5)</f>
        <v>0</v>
      </c>
      <c r="L254" s="28"/>
      <c r="M254" s="28">
        <f>ROUND(SUM(M249:M253),5)</f>
        <v>0</v>
      </c>
      <c r="N254" s="28"/>
      <c r="O254" s="28">
        <f>ROUND(SUM(O249:O253),5)</f>
        <v>0</v>
      </c>
      <c r="P254" s="28"/>
      <c r="Q254" s="28">
        <f>ROUND(SUM(Q249:Q253),5)</f>
        <v>94522.4</v>
      </c>
      <c r="R254" s="28"/>
      <c r="S254" s="9">
        <f>ROUND(SUM(S249:S253),5)</f>
        <v>64159.45</v>
      </c>
      <c r="T254" s="9"/>
      <c r="U254" s="9"/>
      <c r="V254" s="9"/>
      <c r="W254" s="9">
        <f>ROUND(SUM(W249:W253),5)</f>
        <v>18636.21</v>
      </c>
      <c r="X254" s="9"/>
      <c r="Y254" s="9">
        <f>ROUND(SUM(Y249:Y253),5)</f>
        <v>90164</v>
      </c>
      <c r="AA254" s="9">
        <f>ROUND(SUM(AA249:AA253),5)</f>
        <v>95021.5</v>
      </c>
      <c r="AC254" s="28">
        <f>ROUND(SUM(AC249:AC253),5)</f>
        <v>79340.925000000003</v>
      </c>
      <c r="AD254" s="28">
        <f>ROUND(SUM(AD249:AD253),5)</f>
        <v>95557.97</v>
      </c>
      <c r="AE254" s="28">
        <f>ROUND(SUM(AE249:AE253),5)</f>
        <v>63123.88</v>
      </c>
      <c r="AG254" s="28">
        <f>ROUND(SUM(AG249:AG253),5)</f>
        <v>-60704.714999999997</v>
      </c>
      <c r="AH254" s="28">
        <f>ROUND(SUM(AH249:AH253),5)</f>
        <v>-76921.759999999995</v>
      </c>
      <c r="AI254" s="28">
        <f>ROUND(SUM(AI249:AI253),5)</f>
        <v>-44487.67</v>
      </c>
      <c r="AK254" s="28">
        <f>ROUND(SUM(AK249:AK253),5)</f>
        <v>10823.075000000001</v>
      </c>
      <c r="AL254" s="28">
        <f>ROUND(SUM(AL249:AL253),5)</f>
        <v>-5393.97</v>
      </c>
      <c r="AM254" s="28">
        <f>ROUND(SUM(AM249:AM253),5)</f>
        <v>27040.12</v>
      </c>
    </row>
    <row r="255" spans="1:39" s="1" customFormat="1" ht="11.25" customHeight="1" x14ac:dyDescent="0.2">
      <c r="A255" s="26"/>
      <c r="B255" s="26"/>
      <c r="C255" s="26"/>
      <c r="D255" s="26"/>
      <c r="E255" s="26"/>
      <c r="F255" s="26" t="s">
        <v>261</v>
      </c>
      <c r="G255" s="26"/>
      <c r="H255" s="28"/>
      <c r="I255" s="28"/>
      <c r="J255" s="28"/>
      <c r="K255" s="28"/>
      <c r="L255" s="28"/>
      <c r="M255" s="28"/>
      <c r="N255" s="28"/>
      <c r="O255" s="28"/>
      <c r="P255" s="28"/>
      <c r="Q255" s="28"/>
      <c r="R255" s="28"/>
      <c r="S255" s="9"/>
      <c r="T255" s="9"/>
      <c r="U255" s="9"/>
      <c r="V255" s="9"/>
      <c r="W255" s="9"/>
      <c r="X255" s="9"/>
      <c r="Y255" s="9"/>
      <c r="AA255" s="9"/>
      <c r="AC255" s="28"/>
      <c r="AD255" s="28"/>
      <c r="AE255" s="28"/>
      <c r="AG255" s="28"/>
      <c r="AH255" s="28"/>
      <c r="AI255" s="28"/>
      <c r="AK255" s="28"/>
      <c r="AL255" s="28"/>
      <c r="AM255" s="28"/>
    </row>
    <row r="256" spans="1:39" s="1" customFormat="1" ht="11.25" customHeight="1" x14ac:dyDescent="0.2">
      <c r="A256" s="26"/>
      <c r="B256" s="26"/>
      <c r="C256" s="26"/>
      <c r="D256" s="26"/>
      <c r="E256" s="26"/>
      <c r="F256" s="26"/>
      <c r="G256" s="26" t="s">
        <v>262</v>
      </c>
      <c r="H256" s="28"/>
      <c r="I256" s="28">
        <v>684</v>
      </c>
      <c r="J256" s="28"/>
      <c r="K256" s="28">
        <v>655</v>
      </c>
      <c r="L256" s="28"/>
      <c r="M256" s="28">
        <v>1198</v>
      </c>
      <c r="N256" s="28"/>
      <c r="O256" s="28">
        <v>6712.46</v>
      </c>
      <c r="P256" s="28"/>
      <c r="Q256" s="28">
        <v>12162.82</v>
      </c>
      <c r="R256" s="28"/>
      <c r="S256" s="9">
        <v>12755.44</v>
      </c>
      <c r="T256" s="9"/>
      <c r="U256" s="9"/>
      <c r="V256" s="9"/>
      <c r="W256" s="8">
        <f>9775.27+500</f>
        <v>10275.27</v>
      </c>
      <c r="X256" s="9"/>
      <c r="Y256" s="9">
        <v>12000</v>
      </c>
      <c r="AA256" s="9">
        <v>13000</v>
      </c>
      <c r="AC256" s="28">
        <f>AVERAGE(K256:S256)</f>
        <v>6696.7440000000006</v>
      </c>
      <c r="AD256" s="28">
        <f>MAX(K256:S256)</f>
        <v>12755.44</v>
      </c>
      <c r="AE256" s="28">
        <f>MIN(K256:S256)</f>
        <v>655</v>
      </c>
      <c r="AG256" s="28">
        <f>+W256-AC256</f>
        <v>3578.5259999999998</v>
      </c>
      <c r="AH256" s="28">
        <f>+W256-AD256</f>
        <v>-2480.17</v>
      </c>
      <c r="AI256" s="28">
        <f>+W256-AE256</f>
        <v>9620.27</v>
      </c>
      <c r="AK256" s="28">
        <f>+Y256-AC256</f>
        <v>5303.2559999999994</v>
      </c>
      <c r="AL256" s="28">
        <f>+Y256-AD256</f>
        <v>-755.44000000000051</v>
      </c>
      <c r="AM256" s="28">
        <f>+Y256-AE256</f>
        <v>11345</v>
      </c>
    </row>
    <row r="257" spans="1:39" s="1" customFormat="1" ht="11.25" customHeight="1" x14ac:dyDescent="0.2">
      <c r="A257" s="26"/>
      <c r="B257" s="26"/>
      <c r="C257" s="26"/>
      <c r="D257" s="26"/>
      <c r="E257" s="26"/>
      <c r="F257" s="26"/>
      <c r="G257" s="26" t="s">
        <v>263</v>
      </c>
      <c r="H257" s="28"/>
      <c r="I257" s="28"/>
      <c r="J257" s="28"/>
      <c r="K257" s="28"/>
      <c r="L257" s="28"/>
      <c r="M257" s="28"/>
      <c r="N257" s="28"/>
      <c r="O257" s="28"/>
      <c r="P257" s="28"/>
      <c r="Q257" s="28">
        <v>1150</v>
      </c>
      <c r="R257" s="28"/>
      <c r="S257" s="9">
        <v>0</v>
      </c>
      <c r="T257" s="9"/>
      <c r="U257" s="9"/>
      <c r="V257" s="9"/>
      <c r="W257" s="8">
        <v>0</v>
      </c>
      <c r="X257" s="9"/>
      <c r="Y257" s="9">
        <v>0</v>
      </c>
      <c r="AA257" s="9"/>
      <c r="AC257" s="28">
        <f>AVERAGE(K257:S257)</f>
        <v>575</v>
      </c>
      <c r="AD257" s="28">
        <f>MAX(K257:S257)</f>
        <v>1150</v>
      </c>
      <c r="AE257" s="28">
        <f>MIN(K257:S257)</f>
        <v>0</v>
      </c>
      <c r="AG257" s="28">
        <f>+W257-AC257</f>
        <v>-575</v>
      </c>
      <c r="AH257" s="28">
        <f>+W257-AD257</f>
        <v>-1150</v>
      </c>
      <c r="AI257" s="28">
        <f>+W257-AE257</f>
        <v>0</v>
      </c>
      <c r="AK257" s="28">
        <f>+Y257-AC257</f>
        <v>-575</v>
      </c>
      <c r="AL257" s="28">
        <f>+Y257-AD257</f>
        <v>-1150</v>
      </c>
      <c r="AM257" s="28">
        <f>+Y257-AE257</f>
        <v>0</v>
      </c>
    </row>
    <row r="258" spans="1:39" s="1" customFormat="1" ht="11.25" customHeight="1" x14ac:dyDescent="0.2">
      <c r="A258" s="26"/>
      <c r="B258" s="26"/>
      <c r="C258" s="26"/>
      <c r="D258" s="26"/>
      <c r="E258" s="26"/>
      <c r="F258" s="26"/>
      <c r="G258" s="26" t="s">
        <v>264</v>
      </c>
      <c r="H258" s="28"/>
      <c r="I258" s="28"/>
      <c r="J258" s="28"/>
      <c r="K258" s="28"/>
      <c r="L258" s="28"/>
      <c r="M258" s="28"/>
      <c r="N258" s="28"/>
      <c r="O258" s="28"/>
      <c r="P258" s="28"/>
      <c r="Q258" s="28">
        <v>411</v>
      </c>
      <c r="R258" s="28"/>
      <c r="S258" s="9">
        <v>432.89</v>
      </c>
      <c r="T258" s="9"/>
      <c r="U258" s="9"/>
      <c r="V258" s="9"/>
      <c r="W258" s="8">
        <v>426</v>
      </c>
      <c r="X258" s="9"/>
      <c r="Y258" s="9">
        <v>450</v>
      </c>
      <c r="AA258" s="9">
        <v>450</v>
      </c>
      <c r="AC258" s="28">
        <f>AVERAGE(K258:S258)</f>
        <v>421.94499999999999</v>
      </c>
      <c r="AD258" s="28">
        <f>MAX(K258:S258)</f>
        <v>432.89</v>
      </c>
      <c r="AE258" s="28">
        <f>MIN(K258:S258)</f>
        <v>411</v>
      </c>
      <c r="AG258" s="28">
        <f>+W258-AC258</f>
        <v>4.0550000000000068</v>
      </c>
      <c r="AH258" s="28">
        <f>+W258-AD258</f>
        <v>-6.8899999999999864</v>
      </c>
      <c r="AI258" s="28">
        <f>+W258-AE258</f>
        <v>15</v>
      </c>
      <c r="AK258" s="28">
        <f>+Y258-AC258</f>
        <v>28.055000000000007</v>
      </c>
      <c r="AL258" s="28">
        <f>+Y258-AD258</f>
        <v>17.110000000000014</v>
      </c>
      <c r="AM258" s="28">
        <f>+Y258-AE258</f>
        <v>39</v>
      </c>
    </row>
    <row r="259" spans="1:39" s="1" customFormat="1" ht="12" customHeight="1" thickBot="1" x14ac:dyDescent="0.25">
      <c r="A259" s="26"/>
      <c r="B259" s="26"/>
      <c r="C259" s="26"/>
      <c r="D259" s="26"/>
      <c r="E259" s="26"/>
      <c r="F259" s="26"/>
      <c r="G259" s="26" t="s">
        <v>265</v>
      </c>
      <c r="H259" s="28"/>
      <c r="I259" s="33"/>
      <c r="J259" s="28"/>
      <c r="K259" s="33"/>
      <c r="L259" s="28"/>
      <c r="M259" s="33"/>
      <c r="N259" s="28"/>
      <c r="O259" s="33"/>
      <c r="P259" s="33"/>
      <c r="Q259" s="33">
        <v>4481.8100000000004</v>
      </c>
      <c r="R259" s="33"/>
      <c r="S259" s="14">
        <v>3927.97</v>
      </c>
      <c r="T259" s="11"/>
      <c r="U259" s="11"/>
      <c r="V259" s="9"/>
      <c r="W259" s="13">
        <v>7262.37</v>
      </c>
      <c r="X259" s="9"/>
      <c r="Y259" s="14">
        <v>1200</v>
      </c>
      <c r="AA259" s="14">
        <v>4500</v>
      </c>
      <c r="AC259" s="33">
        <f>AVERAGE(K259:S259)</f>
        <v>4204.8900000000003</v>
      </c>
      <c r="AD259" s="33">
        <f>MAX(K259:S259)</f>
        <v>4481.8100000000004</v>
      </c>
      <c r="AE259" s="33">
        <f>MIN(K259:S259)</f>
        <v>3927.97</v>
      </c>
      <c r="AG259" s="33">
        <f>+W259-AC259</f>
        <v>3057.4799999999996</v>
      </c>
      <c r="AH259" s="33">
        <f>+W259-AD259</f>
        <v>2780.5599999999995</v>
      </c>
      <c r="AI259" s="33">
        <f>+W259-AE259</f>
        <v>3334.4</v>
      </c>
      <c r="AK259" s="33">
        <f>+Y259-AC259</f>
        <v>-3004.8900000000003</v>
      </c>
      <c r="AL259" s="33">
        <f>+Y259-AD259</f>
        <v>-3281.8100000000004</v>
      </c>
      <c r="AM259" s="33">
        <f>+Y259-AE259</f>
        <v>-2727.97</v>
      </c>
    </row>
    <row r="260" spans="1:39" s="1" customFormat="1" ht="11.25" customHeight="1" x14ac:dyDescent="0.2">
      <c r="A260" s="26"/>
      <c r="B260" s="26"/>
      <c r="C260" s="26"/>
      <c r="D260" s="26"/>
      <c r="E260" s="26"/>
      <c r="F260" s="26" t="s">
        <v>266</v>
      </c>
      <c r="G260" s="26"/>
      <c r="H260" s="28"/>
      <c r="I260" s="28">
        <f>ROUND(SUM(I255:I259),5)</f>
        <v>684</v>
      </c>
      <c r="J260" s="28"/>
      <c r="K260" s="28">
        <f>ROUND(SUM(K255:K259),5)</f>
        <v>655</v>
      </c>
      <c r="L260" s="28"/>
      <c r="M260" s="28">
        <f>ROUND(SUM(M255:M259),5)</f>
        <v>1198</v>
      </c>
      <c r="N260" s="28"/>
      <c r="O260" s="28">
        <f>ROUND(SUM(O255:O259),5)</f>
        <v>6712.46</v>
      </c>
      <c r="P260" s="28"/>
      <c r="Q260" s="28">
        <f>ROUND(SUM(Q255:Q259),5)</f>
        <v>18205.63</v>
      </c>
      <c r="R260" s="28"/>
      <c r="S260" s="9">
        <f>ROUND(SUM(S255:S259),5)</f>
        <v>17116.3</v>
      </c>
      <c r="T260" s="9"/>
      <c r="U260" s="9"/>
      <c r="V260" s="9"/>
      <c r="W260" s="9">
        <f>ROUND(SUM(W255:W259),5)</f>
        <v>17963.64</v>
      </c>
      <c r="X260" s="9"/>
      <c r="Y260" s="9">
        <f>ROUND(SUM(Y255:Y259),5)</f>
        <v>13650</v>
      </c>
      <c r="AA260" s="9">
        <f>ROUND(SUM(AA255:AA259),5)</f>
        <v>17950</v>
      </c>
      <c r="AC260" s="28">
        <f t="shared" ref="AC260:AE260" si="134">ROUND(SUM(AC255:AC259),5)</f>
        <v>11898.579</v>
      </c>
      <c r="AD260" s="28">
        <f t="shared" si="134"/>
        <v>18820.14</v>
      </c>
      <c r="AE260" s="28">
        <f t="shared" si="134"/>
        <v>4993.97</v>
      </c>
      <c r="AG260" s="28">
        <f t="shared" ref="AG260:AI260" si="135">ROUND(SUM(AG255:AG259),5)</f>
        <v>6065.0609999999997</v>
      </c>
      <c r="AH260" s="28">
        <f t="shared" si="135"/>
        <v>-856.5</v>
      </c>
      <c r="AI260" s="28">
        <f t="shared" si="135"/>
        <v>12969.67</v>
      </c>
      <c r="AK260" s="28">
        <f t="shared" ref="AK260:AM260" si="136">ROUND(SUM(AK255:AK259),5)</f>
        <v>1751.421</v>
      </c>
      <c r="AL260" s="28">
        <f t="shared" si="136"/>
        <v>-5170.1400000000003</v>
      </c>
      <c r="AM260" s="28">
        <f t="shared" si="136"/>
        <v>8656.0300000000007</v>
      </c>
    </row>
    <row r="261" spans="1:39" s="1" customFormat="1" ht="11.25" customHeight="1" x14ac:dyDescent="0.2">
      <c r="A261" s="26"/>
      <c r="B261" s="26"/>
      <c r="C261" s="26"/>
      <c r="D261" s="26"/>
      <c r="E261" s="26"/>
      <c r="F261" s="26" t="s">
        <v>267</v>
      </c>
      <c r="G261" s="26"/>
      <c r="H261" s="28"/>
      <c r="I261" s="28"/>
      <c r="J261" s="28"/>
      <c r="K261" s="28"/>
      <c r="L261" s="28"/>
      <c r="M261" s="28"/>
      <c r="N261" s="28"/>
      <c r="O261" s="28"/>
      <c r="P261" s="28"/>
      <c r="Q261" s="28"/>
      <c r="R261" s="28"/>
      <c r="S261" s="9"/>
      <c r="T261" s="9"/>
      <c r="U261" s="9"/>
      <c r="V261" s="9"/>
      <c r="W261" s="9"/>
      <c r="X261" s="9"/>
      <c r="Y261" s="9"/>
      <c r="AA261" s="9"/>
      <c r="AC261" s="28"/>
      <c r="AD261" s="28"/>
      <c r="AE261" s="28"/>
      <c r="AG261" s="28"/>
      <c r="AH261" s="28"/>
      <c r="AI261" s="28"/>
      <c r="AK261" s="28"/>
      <c r="AL261" s="28"/>
      <c r="AM261" s="28"/>
    </row>
    <row r="262" spans="1:39" s="1" customFormat="1" ht="11.25" customHeight="1" x14ac:dyDescent="0.2">
      <c r="A262" s="26"/>
      <c r="B262" s="26"/>
      <c r="C262" s="26"/>
      <c r="D262" s="26"/>
      <c r="E262" s="26"/>
      <c r="F262" s="26"/>
      <c r="G262" s="26" t="s">
        <v>268</v>
      </c>
      <c r="H262" s="28"/>
      <c r="I262" s="28">
        <v>1826</v>
      </c>
      <c r="J262" s="28"/>
      <c r="K262" s="28">
        <v>1543</v>
      </c>
      <c r="L262" s="28"/>
      <c r="M262" s="28">
        <v>1339</v>
      </c>
      <c r="N262" s="28"/>
      <c r="O262" s="28">
        <v>1630.07</v>
      </c>
      <c r="P262" s="28"/>
      <c r="Q262" s="28">
        <v>67.3</v>
      </c>
      <c r="R262" s="28"/>
      <c r="S262" s="9">
        <v>270.89</v>
      </c>
      <c r="T262" s="9"/>
      <c r="U262" s="9"/>
      <c r="V262" s="9"/>
      <c r="W262" s="9">
        <v>0</v>
      </c>
      <c r="X262" s="9"/>
      <c r="Y262" s="9">
        <v>300</v>
      </c>
      <c r="AA262" s="9">
        <v>750</v>
      </c>
      <c r="AC262" s="28">
        <f>AVERAGE(K262:S262)</f>
        <v>970.05200000000002</v>
      </c>
      <c r="AD262" s="28">
        <f>MAX(K262:S262)</f>
        <v>1630.07</v>
      </c>
      <c r="AE262" s="28">
        <f>MIN(K262:S262)</f>
        <v>67.3</v>
      </c>
      <c r="AG262" s="28">
        <f>+W262-AC262</f>
        <v>-970.05200000000002</v>
      </c>
      <c r="AH262" s="28">
        <f>+W262-AD262</f>
        <v>-1630.07</v>
      </c>
      <c r="AI262" s="28">
        <f>+W262-AE262</f>
        <v>-67.3</v>
      </c>
      <c r="AK262" s="28">
        <f>+Y262-AC262</f>
        <v>-670.05200000000002</v>
      </c>
      <c r="AL262" s="28">
        <f>+Y262-AD262</f>
        <v>-1330.07</v>
      </c>
      <c r="AM262" s="28">
        <f>+Y262-AE262</f>
        <v>232.7</v>
      </c>
    </row>
    <row r="263" spans="1:39" s="1" customFormat="1" ht="11.25" customHeight="1" x14ac:dyDescent="0.2">
      <c r="A263" s="26"/>
      <c r="B263" s="26"/>
      <c r="C263" s="26"/>
      <c r="D263" s="26"/>
      <c r="E263" s="26"/>
      <c r="F263" s="26"/>
      <c r="G263" s="26" t="s">
        <v>269</v>
      </c>
      <c r="H263" s="28"/>
      <c r="I263" s="28"/>
      <c r="J263" s="28"/>
      <c r="K263" s="28"/>
      <c r="L263" s="28"/>
      <c r="M263" s="28"/>
      <c r="N263" s="28"/>
      <c r="O263" s="28"/>
      <c r="P263" s="28"/>
      <c r="Q263" s="28">
        <v>123.24</v>
      </c>
      <c r="R263" s="28"/>
      <c r="S263" s="9">
        <v>0</v>
      </c>
      <c r="T263" s="9"/>
      <c r="U263" s="9"/>
      <c r="V263" s="9"/>
      <c r="W263" s="9">
        <v>0</v>
      </c>
      <c r="X263" s="9"/>
      <c r="Y263" s="9">
        <v>150</v>
      </c>
      <c r="AA263" s="9">
        <v>0</v>
      </c>
      <c r="AC263" s="28">
        <f>AVERAGE(K263:S263)</f>
        <v>61.62</v>
      </c>
      <c r="AD263" s="28">
        <f>MAX(K263:S263)</f>
        <v>123.24</v>
      </c>
      <c r="AE263" s="28">
        <f>MIN(K263:S263)</f>
        <v>0</v>
      </c>
      <c r="AG263" s="28">
        <f>+W263-AC263</f>
        <v>-61.62</v>
      </c>
      <c r="AH263" s="28">
        <f>+W263-AD263</f>
        <v>-123.24</v>
      </c>
      <c r="AI263" s="28">
        <f>+W263-AE263</f>
        <v>0</v>
      </c>
      <c r="AK263" s="28">
        <f>+Y263-AC263</f>
        <v>88.38</v>
      </c>
      <c r="AL263" s="28">
        <f>+Y263-AD263</f>
        <v>26.760000000000005</v>
      </c>
      <c r="AM263" s="28">
        <f>+Y263-AE263</f>
        <v>150</v>
      </c>
    </row>
    <row r="264" spans="1:39" s="1" customFormat="1" ht="12" customHeight="1" thickBot="1" x14ac:dyDescent="0.25">
      <c r="A264" s="26"/>
      <c r="B264" s="26"/>
      <c r="C264" s="26"/>
      <c r="D264" s="26"/>
      <c r="E264" s="26"/>
      <c r="F264" s="26"/>
      <c r="G264" s="26" t="s">
        <v>270</v>
      </c>
      <c r="H264" s="28"/>
      <c r="I264" s="33"/>
      <c r="J264" s="28"/>
      <c r="K264" s="33"/>
      <c r="L264" s="28"/>
      <c r="M264" s="33"/>
      <c r="N264" s="28"/>
      <c r="O264" s="33">
        <v>335.98</v>
      </c>
      <c r="P264" s="33"/>
      <c r="Q264" s="33">
        <v>104</v>
      </c>
      <c r="R264" s="33"/>
      <c r="S264" s="14">
        <v>522.17999999999995</v>
      </c>
      <c r="T264" s="11"/>
      <c r="U264" s="11"/>
      <c r="V264" s="9"/>
      <c r="W264" s="14">
        <v>0</v>
      </c>
      <c r="X264" s="9"/>
      <c r="Y264" s="14">
        <v>300</v>
      </c>
      <c r="AA264" s="14">
        <v>1000</v>
      </c>
      <c r="AC264" s="33">
        <f>AVERAGE(K264:S264)</f>
        <v>320.71999999999997</v>
      </c>
      <c r="AD264" s="33">
        <f>MAX(K264:S264)</f>
        <v>522.17999999999995</v>
      </c>
      <c r="AE264" s="33">
        <f>MIN(K264:S264)</f>
        <v>104</v>
      </c>
      <c r="AG264" s="33">
        <f>+W264-AC264</f>
        <v>-320.71999999999997</v>
      </c>
      <c r="AH264" s="33">
        <f>+W264-AD264</f>
        <v>-522.17999999999995</v>
      </c>
      <c r="AI264" s="33">
        <f>+W264-AE264</f>
        <v>-104</v>
      </c>
      <c r="AK264" s="33">
        <f>+Y264-AC264</f>
        <v>-20.71999999999997</v>
      </c>
      <c r="AL264" s="33">
        <f>+Y264-AD264</f>
        <v>-222.17999999999995</v>
      </c>
      <c r="AM264" s="33">
        <f>+Y264-AE264</f>
        <v>196</v>
      </c>
    </row>
    <row r="265" spans="1:39" s="1" customFormat="1" ht="11.25" customHeight="1" x14ac:dyDescent="0.2">
      <c r="A265" s="26"/>
      <c r="B265" s="26"/>
      <c r="C265" s="26"/>
      <c r="D265" s="26"/>
      <c r="E265" s="26"/>
      <c r="F265" s="26" t="s">
        <v>271</v>
      </c>
      <c r="G265" s="26"/>
      <c r="H265" s="28"/>
      <c r="I265" s="28">
        <f>ROUND(SUM(I261:I264),5)</f>
        <v>1826</v>
      </c>
      <c r="J265" s="28"/>
      <c r="K265" s="28">
        <f>ROUND(SUM(K261:K264),5)</f>
        <v>1543</v>
      </c>
      <c r="L265" s="28"/>
      <c r="M265" s="28">
        <f>ROUND(SUM(M261:M264),5)</f>
        <v>1339</v>
      </c>
      <c r="N265" s="28"/>
      <c r="O265" s="28">
        <f>ROUND(SUM(O261:O264),5)</f>
        <v>1966.05</v>
      </c>
      <c r="P265" s="28"/>
      <c r="Q265" s="28">
        <f>ROUND(SUM(Q261:Q264),5)</f>
        <v>294.54000000000002</v>
      </c>
      <c r="R265" s="28"/>
      <c r="S265" s="9">
        <f>ROUND(SUM(S261:S264),5)</f>
        <v>793.07</v>
      </c>
      <c r="T265" s="9"/>
      <c r="U265" s="9"/>
      <c r="V265" s="9"/>
      <c r="W265" s="9">
        <f>ROUND(SUM(W261:W264),5)</f>
        <v>0</v>
      </c>
      <c r="X265" s="9"/>
      <c r="Y265" s="9">
        <f>ROUND(SUM(Y261:Y264),5)</f>
        <v>750</v>
      </c>
      <c r="AA265" s="9">
        <f>ROUND(SUM(AA261:AA264),5)</f>
        <v>1750</v>
      </c>
      <c r="AC265" s="28">
        <f t="shared" ref="AC265:AE265" si="137">ROUND(SUM(AC261:AC264),5)</f>
        <v>1352.3920000000001</v>
      </c>
      <c r="AD265" s="28">
        <f t="shared" si="137"/>
        <v>2275.4899999999998</v>
      </c>
      <c r="AE265" s="28">
        <f t="shared" si="137"/>
        <v>171.3</v>
      </c>
      <c r="AG265" s="28">
        <f t="shared" ref="AG265:AI265" si="138">ROUND(SUM(AG261:AG264),5)</f>
        <v>-1352.3920000000001</v>
      </c>
      <c r="AH265" s="28">
        <f t="shared" si="138"/>
        <v>-2275.4899999999998</v>
      </c>
      <c r="AI265" s="28">
        <f t="shared" si="138"/>
        <v>-171.3</v>
      </c>
      <c r="AK265" s="28">
        <f t="shared" ref="AK265:AM265" si="139">ROUND(SUM(AK261:AK264),5)</f>
        <v>-602.39200000000005</v>
      </c>
      <c r="AL265" s="28">
        <f t="shared" si="139"/>
        <v>-1525.49</v>
      </c>
      <c r="AM265" s="28">
        <f t="shared" si="139"/>
        <v>578.70000000000005</v>
      </c>
    </row>
    <row r="266" spans="1:39" s="1" customFormat="1" ht="11.25" customHeight="1" x14ac:dyDescent="0.2">
      <c r="A266" s="26"/>
      <c r="B266" s="26"/>
      <c r="C266" s="26"/>
      <c r="D266" s="26"/>
      <c r="E266" s="26"/>
      <c r="F266" s="26" t="s">
        <v>272</v>
      </c>
      <c r="G266" s="26"/>
      <c r="H266" s="28"/>
      <c r="I266" s="28"/>
      <c r="J266" s="28"/>
      <c r="K266" s="28"/>
      <c r="L266" s="28"/>
      <c r="M266" s="28"/>
      <c r="N266" s="28"/>
      <c r="O266" s="28"/>
      <c r="P266" s="28"/>
      <c r="Q266" s="28"/>
      <c r="R266" s="28"/>
      <c r="S266" s="9"/>
      <c r="T266" s="9"/>
      <c r="U266" s="9"/>
      <c r="V266" s="9"/>
      <c r="W266" s="9"/>
      <c r="X266" s="9"/>
      <c r="Y266" s="9"/>
      <c r="AA266" s="9"/>
      <c r="AC266" s="28"/>
      <c r="AD266" s="28"/>
      <c r="AE266" s="28"/>
      <c r="AG266" s="28"/>
      <c r="AH266" s="28"/>
      <c r="AI266" s="28"/>
      <c r="AK266" s="28"/>
      <c r="AL266" s="28"/>
      <c r="AM266" s="28"/>
    </row>
    <row r="267" spans="1:39" s="1" customFormat="1" ht="11.25" customHeight="1" x14ac:dyDescent="0.2">
      <c r="A267" s="26"/>
      <c r="B267" s="26"/>
      <c r="C267" s="26"/>
      <c r="D267" s="26"/>
      <c r="E267" s="26"/>
      <c r="F267" s="26"/>
      <c r="G267" s="26" t="s">
        <v>273</v>
      </c>
      <c r="H267" s="28"/>
      <c r="I267" s="28"/>
      <c r="J267" s="28"/>
      <c r="K267" s="28"/>
      <c r="L267" s="28"/>
      <c r="M267" s="28"/>
      <c r="N267" s="28"/>
      <c r="O267" s="28"/>
      <c r="P267" s="28"/>
      <c r="Q267" s="28">
        <v>3736.38</v>
      </c>
      <c r="R267" s="28"/>
      <c r="S267" s="9">
        <v>6050.81</v>
      </c>
      <c r="T267" s="9"/>
      <c r="U267" s="9"/>
      <c r="V267" s="9"/>
      <c r="W267" s="8">
        <v>1361.46</v>
      </c>
      <c r="X267" s="9"/>
      <c r="Y267" s="9">
        <v>5000</v>
      </c>
      <c r="AA267" s="9"/>
      <c r="AC267" s="28">
        <f t="shared" ref="AC267:AC274" si="140">AVERAGE(K267:S267)</f>
        <v>4893.5950000000003</v>
      </c>
      <c r="AD267" s="28">
        <f>MAX(K267:S267)</f>
        <v>6050.81</v>
      </c>
      <c r="AE267" s="28">
        <f>MIN(K267:S267)</f>
        <v>3736.38</v>
      </c>
      <c r="AG267" s="28">
        <f>+W267-AC267</f>
        <v>-3532.1350000000002</v>
      </c>
      <c r="AH267" s="28">
        <f>+W267-AD267</f>
        <v>-4689.3500000000004</v>
      </c>
      <c r="AI267" s="28">
        <f>+W267-AE267</f>
        <v>-2374.92</v>
      </c>
      <c r="AK267" s="28">
        <f>+Y267-AC267</f>
        <v>106.40499999999975</v>
      </c>
      <c r="AL267" s="28">
        <f>+Y267-AD267</f>
        <v>-1050.8100000000004</v>
      </c>
      <c r="AM267" s="28">
        <f>+Y267-AE267</f>
        <v>1263.6199999999999</v>
      </c>
    </row>
    <row r="268" spans="1:39" s="1" customFormat="1" ht="11.25" customHeight="1" x14ac:dyDescent="0.2">
      <c r="A268" s="26"/>
      <c r="B268" s="26"/>
      <c r="C268" s="26"/>
      <c r="D268" s="26"/>
      <c r="E268" s="26"/>
      <c r="F268" s="26"/>
      <c r="G268" s="26" t="s">
        <v>274</v>
      </c>
      <c r="H268" s="28"/>
      <c r="I268" s="28"/>
      <c r="J268" s="28"/>
      <c r="K268" s="28"/>
      <c r="L268" s="28"/>
      <c r="M268" s="28"/>
      <c r="N268" s="28"/>
      <c r="O268" s="28"/>
      <c r="P268" s="28"/>
      <c r="Q268" s="28"/>
      <c r="R268" s="28"/>
      <c r="S268" s="9">
        <v>68.58</v>
      </c>
      <c r="T268" s="9"/>
      <c r="U268" s="9"/>
      <c r="V268" s="9"/>
      <c r="W268" s="8">
        <v>228.6</v>
      </c>
      <c r="X268" s="9"/>
      <c r="Y268" s="9"/>
      <c r="AA268" s="9">
        <v>500</v>
      </c>
      <c r="AC268" s="28">
        <f t="shared" si="140"/>
        <v>68.58</v>
      </c>
      <c r="AD268" s="28"/>
      <c r="AE268" s="28"/>
      <c r="AG268" s="28"/>
      <c r="AH268" s="28"/>
      <c r="AI268" s="28"/>
      <c r="AK268" s="28"/>
      <c r="AL268" s="28"/>
      <c r="AM268" s="28"/>
    </row>
    <row r="269" spans="1:39" s="1" customFormat="1" ht="11.25" customHeight="1" x14ac:dyDescent="0.2">
      <c r="A269" s="26"/>
      <c r="B269" s="26"/>
      <c r="C269" s="26"/>
      <c r="D269" s="26"/>
      <c r="E269" s="26"/>
      <c r="F269" s="26"/>
      <c r="G269" s="26" t="s">
        <v>275</v>
      </c>
      <c r="H269" s="28"/>
      <c r="I269" s="28">
        <v>2631</v>
      </c>
      <c r="J269" s="28"/>
      <c r="K269" s="28">
        <v>2276</v>
      </c>
      <c r="L269" s="28"/>
      <c r="M269" s="28">
        <v>2140</v>
      </c>
      <c r="N269" s="28"/>
      <c r="O269" s="28">
        <v>1587.37</v>
      </c>
      <c r="P269" s="28"/>
      <c r="Q269" s="28">
        <v>1608.74</v>
      </c>
      <c r="R269" s="28"/>
      <c r="S269" s="9">
        <v>0</v>
      </c>
      <c r="T269" s="9"/>
      <c r="U269" s="9"/>
      <c r="V269" s="9"/>
      <c r="W269" s="8">
        <v>0</v>
      </c>
      <c r="X269" s="9"/>
      <c r="Y269" s="9">
        <v>0</v>
      </c>
      <c r="AA269" s="9"/>
      <c r="AC269" s="28">
        <f t="shared" si="140"/>
        <v>1522.422</v>
      </c>
      <c r="AD269" s="28">
        <f t="shared" ref="AD269:AD274" si="141">MAX(K269:S269)</f>
        <v>2276</v>
      </c>
      <c r="AE269" s="28">
        <f t="shared" ref="AE269:AE274" si="142">MIN(K269:S269)</f>
        <v>0</v>
      </c>
      <c r="AG269" s="28">
        <f t="shared" ref="AG269:AG274" si="143">+W269-AC269</f>
        <v>-1522.422</v>
      </c>
      <c r="AH269" s="28">
        <f t="shared" ref="AH269:AH274" si="144">+W269-AD269</f>
        <v>-2276</v>
      </c>
      <c r="AI269" s="28">
        <f t="shared" ref="AI269:AI274" si="145">+W269-AE269</f>
        <v>0</v>
      </c>
      <c r="AK269" s="28">
        <f t="shared" ref="AK269:AK274" si="146">+Y269-AC269</f>
        <v>-1522.422</v>
      </c>
      <c r="AL269" s="28">
        <f t="shared" ref="AL269:AL274" si="147">+Y269-AD269</f>
        <v>-2276</v>
      </c>
      <c r="AM269" s="28">
        <f t="shared" ref="AM269:AM274" si="148">+Y269-AE269</f>
        <v>0</v>
      </c>
    </row>
    <row r="270" spans="1:39" s="1" customFormat="1" ht="11.25" customHeight="1" x14ac:dyDescent="0.2">
      <c r="A270" s="26"/>
      <c r="B270" s="26"/>
      <c r="C270" s="26"/>
      <c r="D270" s="26"/>
      <c r="E270" s="26"/>
      <c r="F270" s="26"/>
      <c r="G270" s="26" t="s">
        <v>276</v>
      </c>
      <c r="H270" s="28"/>
      <c r="I270" s="28"/>
      <c r="J270" s="28"/>
      <c r="K270" s="28"/>
      <c r="L270" s="28"/>
      <c r="M270" s="28"/>
      <c r="N270" s="28"/>
      <c r="O270" s="28"/>
      <c r="P270" s="28"/>
      <c r="Q270" s="28">
        <v>45</v>
      </c>
      <c r="R270" s="28"/>
      <c r="S270" s="9">
        <v>0</v>
      </c>
      <c r="T270" s="9"/>
      <c r="U270" s="9"/>
      <c r="V270" s="9"/>
      <c r="W270" s="8">
        <v>0</v>
      </c>
      <c r="X270" s="9"/>
      <c r="Y270" s="9">
        <v>50</v>
      </c>
      <c r="AA270" s="9"/>
      <c r="AC270" s="28">
        <f t="shared" si="140"/>
        <v>22.5</v>
      </c>
      <c r="AD270" s="28">
        <f t="shared" si="141"/>
        <v>45</v>
      </c>
      <c r="AE270" s="28">
        <f t="shared" si="142"/>
        <v>0</v>
      </c>
      <c r="AG270" s="28">
        <f t="shared" si="143"/>
        <v>-22.5</v>
      </c>
      <c r="AH270" s="28">
        <f t="shared" si="144"/>
        <v>-45</v>
      </c>
      <c r="AI270" s="28">
        <f t="shared" si="145"/>
        <v>0</v>
      </c>
      <c r="AK270" s="28">
        <f t="shared" si="146"/>
        <v>27.5</v>
      </c>
      <c r="AL270" s="28">
        <f t="shared" si="147"/>
        <v>5</v>
      </c>
      <c r="AM270" s="28">
        <f t="shared" si="148"/>
        <v>50</v>
      </c>
    </row>
    <row r="271" spans="1:39" s="1" customFormat="1" ht="11.25" customHeight="1" x14ac:dyDescent="0.2">
      <c r="A271" s="26"/>
      <c r="B271" s="26"/>
      <c r="C271" s="26"/>
      <c r="D271" s="26"/>
      <c r="E271" s="26"/>
      <c r="F271" s="26"/>
      <c r="G271" s="26" t="s">
        <v>277</v>
      </c>
      <c r="H271" s="28"/>
      <c r="I271" s="28"/>
      <c r="J271" s="28"/>
      <c r="K271" s="28"/>
      <c r="L271" s="28"/>
      <c r="M271" s="28"/>
      <c r="N271" s="28"/>
      <c r="O271" s="28"/>
      <c r="P271" s="28"/>
      <c r="Q271" s="28">
        <v>2084.61</v>
      </c>
      <c r="R271" s="28"/>
      <c r="S271" s="9">
        <v>3888.73</v>
      </c>
      <c r="T271" s="9"/>
      <c r="U271" s="9"/>
      <c r="V271" s="9"/>
      <c r="W271" s="8">
        <v>5472.86</v>
      </c>
      <c r="X271" s="9"/>
      <c r="Y271" s="9">
        <v>3500</v>
      </c>
      <c r="AA271" s="9">
        <v>1000</v>
      </c>
      <c r="AC271" s="28">
        <f t="shared" si="140"/>
        <v>2986.67</v>
      </c>
      <c r="AD271" s="28">
        <f t="shared" si="141"/>
        <v>3888.73</v>
      </c>
      <c r="AE271" s="28">
        <f t="shared" si="142"/>
        <v>2084.61</v>
      </c>
      <c r="AG271" s="28">
        <f t="shared" si="143"/>
        <v>2486.1899999999996</v>
      </c>
      <c r="AH271" s="28">
        <f t="shared" si="144"/>
        <v>1584.1299999999997</v>
      </c>
      <c r="AI271" s="28">
        <f t="shared" si="145"/>
        <v>3388.2499999999995</v>
      </c>
      <c r="AK271" s="28">
        <f t="shared" si="146"/>
        <v>513.32999999999993</v>
      </c>
      <c r="AL271" s="28">
        <f t="shared" si="147"/>
        <v>-388.73</v>
      </c>
      <c r="AM271" s="28">
        <f t="shared" si="148"/>
        <v>1415.3899999999999</v>
      </c>
    </row>
    <row r="272" spans="1:39" s="1" customFormat="1" ht="11.25" customHeight="1" x14ac:dyDescent="0.2">
      <c r="A272" s="26"/>
      <c r="B272" s="26"/>
      <c r="C272" s="26"/>
      <c r="D272" s="26"/>
      <c r="E272" s="26"/>
      <c r="F272" s="26"/>
      <c r="G272" s="26" t="s">
        <v>278</v>
      </c>
      <c r="H272" s="28"/>
      <c r="I272" s="28">
        <v>1164</v>
      </c>
      <c r="J272" s="28"/>
      <c r="K272" s="28">
        <v>1263</v>
      </c>
      <c r="L272" s="28"/>
      <c r="M272" s="28">
        <v>1717</v>
      </c>
      <c r="N272" s="28"/>
      <c r="O272" s="28">
        <v>7109.5</v>
      </c>
      <c r="P272" s="28"/>
      <c r="Q272" s="28">
        <v>8086.47</v>
      </c>
      <c r="R272" s="28"/>
      <c r="S272" s="9">
        <v>6378.71</v>
      </c>
      <c r="T272" s="9"/>
      <c r="U272" s="9"/>
      <c r="V272" s="9"/>
      <c r="W272" s="8">
        <v>0</v>
      </c>
      <c r="X272" s="9"/>
      <c r="Y272" s="9">
        <v>5000</v>
      </c>
      <c r="AA272" s="9">
        <v>5000</v>
      </c>
      <c r="AC272" s="28">
        <f t="shared" si="140"/>
        <v>4910.9359999999997</v>
      </c>
      <c r="AD272" s="28">
        <f t="shared" si="141"/>
        <v>8086.47</v>
      </c>
      <c r="AE272" s="28">
        <f t="shared" si="142"/>
        <v>1263</v>
      </c>
      <c r="AG272" s="28">
        <f t="shared" si="143"/>
        <v>-4910.9359999999997</v>
      </c>
      <c r="AH272" s="28">
        <f t="shared" si="144"/>
        <v>-8086.47</v>
      </c>
      <c r="AI272" s="28">
        <f t="shared" si="145"/>
        <v>-1263</v>
      </c>
      <c r="AK272" s="28">
        <f t="shared" si="146"/>
        <v>89.064000000000306</v>
      </c>
      <c r="AL272" s="28">
        <f t="shared" si="147"/>
        <v>-3086.4700000000003</v>
      </c>
      <c r="AM272" s="28">
        <f t="shared" si="148"/>
        <v>3737</v>
      </c>
    </row>
    <row r="273" spans="1:39" s="1" customFormat="1" ht="11.25" customHeight="1" x14ac:dyDescent="0.2">
      <c r="A273" s="26"/>
      <c r="B273" s="26"/>
      <c r="C273" s="26"/>
      <c r="D273" s="26"/>
      <c r="E273" s="26"/>
      <c r="F273" s="26"/>
      <c r="G273" s="26" t="s">
        <v>279</v>
      </c>
      <c r="H273" s="28"/>
      <c r="I273" s="28">
        <v>760</v>
      </c>
      <c r="J273" s="28"/>
      <c r="K273" s="28">
        <v>1085</v>
      </c>
      <c r="L273" s="28"/>
      <c r="M273" s="28">
        <v>95</v>
      </c>
      <c r="N273" s="28"/>
      <c r="O273" s="28">
        <v>15352.44</v>
      </c>
      <c r="P273" s="28"/>
      <c r="Q273" s="28">
        <v>1743.31</v>
      </c>
      <c r="R273" s="28"/>
      <c r="S273" s="9">
        <v>3029.22</v>
      </c>
      <c r="T273" s="9"/>
      <c r="U273" s="9"/>
      <c r="V273" s="9"/>
      <c r="W273" s="8">
        <v>2375.11</v>
      </c>
      <c r="X273" s="9"/>
      <c r="Y273" s="9">
        <v>1500</v>
      </c>
      <c r="AA273" s="9">
        <v>1500</v>
      </c>
      <c r="AC273" s="9">
        <f t="shared" si="140"/>
        <v>4260.9940000000006</v>
      </c>
      <c r="AD273" s="9">
        <f t="shared" si="141"/>
        <v>15352.44</v>
      </c>
      <c r="AE273" s="9">
        <f t="shared" si="142"/>
        <v>95</v>
      </c>
      <c r="AG273" s="9">
        <f t="shared" si="143"/>
        <v>-1885.8840000000005</v>
      </c>
      <c r="AH273" s="9">
        <f t="shared" si="144"/>
        <v>-12977.33</v>
      </c>
      <c r="AI273" s="9">
        <f t="shared" si="145"/>
        <v>2280.11</v>
      </c>
      <c r="AK273" s="28">
        <f t="shared" si="146"/>
        <v>-2760.9940000000006</v>
      </c>
      <c r="AL273" s="28">
        <f t="shared" si="147"/>
        <v>-13852.44</v>
      </c>
      <c r="AM273" s="28">
        <f t="shared" si="148"/>
        <v>1405</v>
      </c>
    </row>
    <row r="274" spans="1:39" s="1" customFormat="1" ht="12" customHeight="1" thickBot="1" x14ac:dyDescent="0.25">
      <c r="A274" s="26"/>
      <c r="B274" s="26"/>
      <c r="C274" s="26"/>
      <c r="D274" s="26"/>
      <c r="E274" s="26"/>
      <c r="F274" s="26"/>
      <c r="G274" s="26" t="s">
        <v>280</v>
      </c>
      <c r="H274" s="28"/>
      <c r="I274" s="31"/>
      <c r="J274" s="28"/>
      <c r="K274" s="31"/>
      <c r="L274" s="28"/>
      <c r="M274" s="31"/>
      <c r="N274" s="28"/>
      <c r="O274" s="31"/>
      <c r="P274" s="31"/>
      <c r="Q274" s="28">
        <v>1989.83</v>
      </c>
      <c r="R274" s="28"/>
      <c r="S274" s="9">
        <v>578.9</v>
      </c>
      <c r="T274" s="11"/>
      <c r="U274" s="11"/>
      <c r="V274" s="9"/>
      <c r="W274" s="10">
        <v>130</v>
      </c>
      <c r="X274" s="9"/>
      <c r="Y274" s="11">
        <v>600</v>
      </c>
      <c r="AA274" s="11">
        <v>2000</v>
      </c>
      <c r="AC274" s="11">
        <f t="shared" si="140"/>
        <v>1284.365</v>
      </c>
      <c r="AD274" s="11">
        <f t="shared" si="141"/>
        <v>1989.83</v>
      </c>
      <c r="AE274" s="11">
        <f t="shared" si="142"/>
        <v>578.9</v>
      </c>
      <c r="AG274" s="11">
        <f t="shared" si="143"/>
        <v>-1154.365</v>
      </c>
      <c r="AH274" s="11">
        <f t="shared" si="144"/>
        <v>-1859.83</v>
      </c>
      <c r="AI274" s="11">
        <f t="shared" si="145"/>
        <v>-448.9</v>
      </c>
      <c r="AK274" s="31">
        <f t="shared" si="146"/>
        <v>-684.36500000000001</v>
      </c>
      <c r="AL274" s="31">
        <f t="shared" si="147"/>
        <v>-1389.83</v>
      </c>
      <c r="AM274" s="31">
        <f t="shared" si="148"/>
        <v>21.100000000000023</v>
      </c>
    </row>
    <row r="275" spans="1:39" s="1" customFormat="1" ht="12" customHeight="1" thickBot="1" x14ac:dyDescent="0.25">
      <c r="A275" s="26"/>
      <c r="B275" s="26"/>
      <c r="C275" s="26"/>
      <c r="D275" s="26"/>
      <c r="E275" s="26"/>
      <c r="F275" s="26" t="s">
        <v>281</v>
      </c>
      <c r="G275" s="26"/>
      <c r="H275" s="28"/>
      <c r="I275" s="32">
        <f>ROUND(SUM(I266:I274),5)</f>
        <v>4555</v>
      </c>
      <c r="J275" s="28"/>
      <c r="K275" s="32">
        <f>ROUND(SUM(K266:K274),5)</f>
        <v>4624</v>
      </c>
      <c r="L275" s="28"/>
      <c r="M275" s="32">
        <f>ROUND(SUM(M266:M274),5)</f>
        <v>3952</v>
      </c>
      <c r="N275" s="28"/>
      <c r="O275" s="32">
        <f>ROUND(SUM(O266:O274),5)</f>
        <v>24049.31</v>
      </c>
      <c r="P275" s="32"/>
      <c r="Q275" s="32">
        <f>ROUND(SUM(Q266:Q274),5)</f>
        <v>19294.34</v>
      </c>
      <c r="R275" s="32"/>
      <c r="S275" s="12">
        <f>ROUND(SUM(S266:S274),5)</f>
        <v>19994.95</v>
      </c>
      <c r="T275" s="11"/>
      <c r="U275" s="11"/>
      <c r="V275" s="9"/>
      <c r="W275" s="12">
        <f>ROUND(SUM(W266:W274),5)</f>
        <v>9568.0300000000007</v>
      </c>
      <c r="X275" s="9"/>
      <c r="Y275" s="12">
        <f>ROUND(SUM(Y266:Y274),5)</f>
        <v>15650</v>
      </c>
      <c r="AA275" s="12">
        <f>ROUND(SUM(AA266:AA274),5)</f>
        <v>10000</v>
      </c>
      <c r="AC275" s="37">
        <f>ROUND(SUM(AC266:AC274),5)</f>
        <v>19950.062000000002</v>
      </c>
      <c r="AD275" s="37">
        <f>ROUND(SUM(AD266:AD274),5)</f>
        <v>37689.279999999999</v>
      </c>
      <c r="AE275" s="37">
        <f>ROUND(SUM(AE266:AE274),5)</f>
        <v>7757.89</v>
      </c>
      <c r="AG275" s="37">
        <f>ROUND(SUM(AG266:AG274),5)</f>
        <v>-10542.052</v>
      </c>
      <c r="AH275" s="37">
        <f>ROUND(SUM(AH266:AH274),5)</f>
        <v>-28349.85</v>
      </c>
      <c r="AI275" s="37">
        <f>ROUND(SUM(AI266:AI274),5)</f>
        <v>1581.54</v>
      </c>
      <c r="AK275" s="32">
        <f>ROUND(SUM(AK266:AK274),5)</f>
        <v>-4231.482</v>
      </c>
      <c r="AL275" s="32">
        <f>ROUND(SUM(AL266:AL274),5)</f>
        <v>-22039.279999999999</v>
      </c>
      <c r="AM275" s="32">
        <f>ROUND(SUM(AM266:AM274),5)</f>
        <v>7892.11</v>
      </c>
    </row>
    <row r="276" spans="1:39" s="1" customFormat="1" ht="11.25" customHeight="1" x14ac:dyDescent="0.2">
      <c r="A276" s="26"/>
      <c r="B276" s="26"/>
      <c r="C276" s="26"/>
      <c r="D276" s="26"/>
      <c r="E276" s="35" t="s">
        <v>282</v>
      </c>
      <c r="F276" s="26"/>
      <c r="G276" s="26"/>
      <c r="H276" s="28"/>
      <c r="I276" s="28">
        <f>ROUND(I240+I248+I254+I260+I265+I275,5)</f>
        <v>72690</v>
      </c>
      <c r="J276" s="28"/>
      <c r="K276" s="28">
        <f>ROUND(K240+K248+K254+K260+K265+K275,5)</f>
        <v>73788</v>
      </c>
      <c r="L276" s="28"/>
      <c r="M276" s="28">
        <f>ROUND(M240+M248+M254+M260+M265+M275,5)</f>
        <v>76733</v>
      </c>
      <c r="N276" s="28"/>
      <c r="O276" s="28">
        <f>ROUND(O240+O248+O254+O260+O265+O275,5)</f>
        <v>290172.84000000003</v>
      </c>
      <c r="P276" s="28"/>
      <c r="Q276" s="28">
        <f>ROUND(Q240+Q248+Q254+Q260+Q265+Q275,5)</f>
        <v>240966.26</v>
      </c>
      <c r="R276" s="28"/>
      <c r="S276" s="9">
        <f>ROUND(S240+S248+S254+S260+S265+S275,5)</f>
        <v>228580.85</v>
      </c>
      <c r="T276" s="9"/>
      <c r="U276" s="9"/>
      <c r="V276" s="9"/>
      <c r="W276" s="9">
        <f>ROUND(W240+W248+W254+W260+W265+W275,5)</f>
        <v>150017.25</v>
      </c>
      <c r="X276" s="9"/>
      <c r="Y276" s="9">
        <f>ROUND(Y240+Y248+Y254+Y260+Y265+Y275,5)</f>
        <v>245635</v>
      </c>
      <c r="AA276" s="9">
        <f>ROUND(AA240+AA248+AA254+AA260+AA265+AA275,5)</f>
        <v>250846.1588</v>
      </c>
      <c r="AC276" s="38">
        <f>ROUND(AC240+AC248+AC254+AC260+AC265+AC275,5)</f>
        <v>239544.12299999999</v>
      </c>
      <c r="AD276" s="38">
        <f>ROUND(AD240+AD248+AD254+AD260+AD265+AD275,5)</f>
        <v>413603.05</v>
      </c>
      <c r="AE276" s="38">
        <f>ROUND(AE240+AE248+AE254+AE260+AE265+AE275,5)</f>
        <v>143077.14000000001</v>
      </c>
      <c r="AG276" s="38">
        <f>ROUND(AG240+AG248+AG254+AG260+AG265+AG275,5)</f>
        <v>-89686.892999999996</v>
      </c>
      <c r="AH276" s="38">
        <f>ROUND(AH240+AH248+AH254+AH260+AH265+AH275,5)</f>
        <v>-263814.40000000002</v>
      </c>
      <c r="AI276" s="38">
        <f>ROUND(AI240+AI248+AI254+AI260+AI265+AI275,5)</f>
        <v>6711.51</v>
      </c>
      <c r="AK276" s="28">
        <f>ROUND(AK240+AK248+AK254+AK260+AK265+AK275,5)</f>
        <v>6147.4570000000003</v>
      </c>
      <c r="AL276" s="28">
        <f>ROUND(AL240+AL248+AL254+AL260+AL265+AL275,5)</f>
        <v>-168168.05</v>
      </c>
      <c r="AM276" s="28">
        <f>ROUND(AM240+AM248+AM254+AM260+AM265+AM275,5)</f>
        <v>102357.86</v>
      </c>
    </row>
    <row r="277" spans="1:39" s="1" customFormat="1" ht="11.25" customHeight="1" x14ac:dyDescent="0.2">
      <c r="A277" s="26"/>
      <c r="B277" s="26"/>
      <c r="C277" s="26"/>
      <c r="D277" s="26"/>
      <c r="E277" s="26"/>
      <c r="F277" s="26"/>
      <c r="G277" s="26"/>
      <c r="H277" s="28"/>
      <c r="I277" s="28"/>
      <c r="J277" s="28"/>
      <c r="K277" s="28"/>
      <c r="L277" s="28"/>
      <c r="M277" s="28"/>
      <c r="N277" s="28"/>
      <c r="O277" s="28"/>
      <c r="P277" s="28"/>
      <c r="Q277" s="28"/>
      <c r="R277" s="28"/>
      <c r="S277" s="9"/>
      <c r="T277" s="9"/>
      <c r="U277" s="9"/>
      <c r="V277" s="9"/>
      <c r="W277" s="9"/>
      <c r="X277" s="9"/>
      <c r="Y277" s="9"/>
      <c r="AA277" s="9"/>
      <c r="AC277" s="28"/>
      <c r="AD277" s="28"/>
      <c r="AE277" s="28"/>
      <c r="AG277" s="28"/>
      <c r="AH277" s="28"/>
      <c r="AI277" s="28"/>
      <c r="AK277" s="28"/>
      <c r="AL277" s="28"/>
      <c r="AM277" s="28"/>
    </row>
    <row r="278" spans="1:39" s="1" customFormat="1" ht="11.25" customHeight="1" x14ac:dyDescent="0.2">
      <c r="A278" s="26"/>
      <c r="B278" s="26"/>
      <c r="C278" s="26"/>
      <c r="D278" s="26"/>
      <c r="E278" s="35" t="s">
        <v>283</v>
      </c>
      <c r="F278" s="26"/>
      <c r="G278" s="26"/>
      <c r="H278" s="28"/>
      <c r="I278" s="28"/>
      <c r="J278" s="28"/>
      <c r="K278" s="28"/>
      <c r="L278" s="28"/>
      <c r="M278" s="28"/>
      <c r="N278" s="28"/>
      <c r="O278" s="28"/>
      <c r="P278" s="28"/>
      <c r="Q278" s="28"/>
      <c r="R278" s="28"/>
      <c r="S278" s="9"/>
      <c r="T278" s="9"/>
      <c r="U278" s="9"/>
      <c r="V278" s="9"/>
      <c r="W278" s="9"/>
      <c r="X278" s="9"/>
      <c r="Y278" s="9"/>
      <c r="AA278" s="9"/>
      <c r="AC278" s="28"/>
      <c r="AD278" s="28"/>
      <c r="AE278" s="28"/>
      <c r="AG278" s="28"/>
      <c r="AH278" s="28"/>
      <c r="AI278" s="28"/>
      <c r="AK278" s="28"/>
      <c r="AL278" s="28"/>
      <c r="AM278" s="28"/>
    </row>
    <row r="279" spans="1:39" s="1" customFormat="1" ht="11.25" customHeight="1" x14ac:dyDescent="0.2">
      <c r="A279" s="26"/>
      <c r="B279" s="26"/>
      <c r="C279" s="26"/>
      <c r="D279" s="26"/>
      <c r="E279" s="26"/>
      <c r="F279" s="26" t="s">
        <v>284</v>
      </c>
      <c r="G279" s="26"/>
      <c r="H279" s="28"/>
      <c r="I279" s="28"/>
      <c r="J279" s="28"/>
      <c r="K279" s="28"/>
      <c r="L279" s="28"/>
      <c r="M279" s="28"/>
      <c r="N279" s="28"/>
      <c r="O279" s="28"/>
      <c r="P279" s="28"/>
      <c r="Q279" s="28"/>
      <c r="R279" s="28"/>
      <c r="S279" s="9"/>
      <c r="T279" s="9"/>
      <c r="U279" s="9"/>
      <c r="V279" s="9"/>
      <c r="W279" s="9"/>
      <c r="X279" s="9"/>
      <c r="Y279" s="9"/>
      <c r="AA279" s="9"/>
      <c r="AC279" s="28"/>
      <c r="AD279" s="28"/>
      <c r="AE279" s="28"/>
      <c r="AG279" s="28"/>
      <c r="AH279" s="28"/>
      <c r="AI279" s="28"/>
      <c r="AK279" s="28"/>
      <c r="AL279" s="28"/>
      <c r="AM279" s="28"/>
    </row>
    <row r="280" spans="1:39" s="1" customFormat="1" ht="11.25" customHeight="1" x14ac:dyDescent="0.2">
      <c r="A280" s="26"/>
      <c r="B280" s="26"/>
      <c r="C280" s="26"/>
      <c r="D280" s="26"/>
      <c r="E280" s="26"/>
      <c r="F280" s="26"/>
      <c r="G280" s="26" t="s">
        <v>285</v>
      </c>
      <c r="H280" s="28"/>
      <c r="I280" s="28"/>
      <c r="J280" s="28"/>
      <c r="K280" s="28"/>
      <c r="L280" s="28"/>
      <c r="M280" s="28"/>
      <c r="N280" s="28"/>
      <c r="O280" s="28"/>
      <c r="P280" s="28"/>
      <c r="Q280" s="28">
        <v>55877.64</v>
      </c>
      <c r="R280" s="28"/>
      <c r="S280" s="9">
        <v>49628.800000000003</v>
      </c>
      <c r="T280" s="9"/>
      <c r="U280" s="9"/>
      <c r="V280" s="9"/>
      <c r="W280" s="8">
        <v>45443.79</v>
      </c>
      <c r="X280" s="9"/>
      <c r="Y280" s="9">
        <v>51371</v>
      </c>
      <c r="AA280" s="9">
        <v>53000</v>
      </c>
      <c r="AC280" s="9">
        <f>AVERAGE(K280:S280)</f>
        <v>52753.22</v>
      </c>
      <c r="AD280" s="9">
        <f>MAX(K280:S280)</f>
        <v>55877.64</v>
      </c>
      <c r="AE280" s="9">
        <f>MIN(K280:S280)</f>
        <v>49628.800000000003</v>
      </c>
      <c r="AG280" s="9">
        <f>+W280-AC280</f>
        <v>-7309.43</v>
      </c>
      <c r="AH280" s="9">
        <f>+W280-AD280</f>
        <v>-10433.849999999999</v>
      </c>
      <c r="AI280" s="9">
        <f>+W280-AE280</f>
        <v>-4185.010000000002</v>
      </c>
      <c r="AK280" s="28">
        <f>+Y280-AC280</f>
        <v>-1382.2200000000012</v>
      </c>
      <c r="AL280" s="28">
        <f>+Y280-AD280</f>
        <v>-4506.6399999999994</v>
      </c>
      <c r="AM280" s="28">
        <f>+Y280-AE280</f>
        <v>1742.1999999999971</v>
      </c>
    </row>
    <row r="281" spans="1:39" s="1" customFormat="1" ht="11.25" customHeight="1" x14ac:dyDescent="0.2">
      <c r="A281" s="26"/>
      <c r="B281" s="26"/>
      <c r="C281" s="26"/>
      <c r="D281" s="26"/>
      <c r="E281" s="26"/>
      <c r="F281" s="26"/>
      <c r="G281" s="26" t="s">
        <v>286</v>
      </c>
      <c r="H281" s="28"/>
      <c r="I281" s="28"/>
      <c r="J281" s="28"/>
      <c r="K281" s="28"/>
      <c r="L281" s="28"/>
      <c r="M281" s="28"/>
      <c r="N281" s="28"/>
      <c r="O281" s="28"/>
      <c r="P281" s="28"/>
      <c r="Q281" s="28">
        <v>4593.97</v>
      </c>
      <c r="R281" s="28"/>
      <c r="S281" s="9">
        <v>4191.22</v>
      </c>
      <c r="T281" s="9"/>
      <c r="U281" s="9"/>
      <c r="V281" s="9"/>
      <c r="W281" s="8">
        <v>3729.91</v>
      </c>
      <c r="X281" s="9"/>
      <c r="Y281" s="9">
        <v>3930</v>
      </c>
      <c r="AA281" s="9">
        <f>+AA280*0.0765</f>
        <v>4054.5</v>
      </c>
      <c r="AC281" s="9">
        <f>AVERAGE(K281:S281)</f>
        <v>4392.5950000000003</v>
      </c>
      <c r="AD281" s="9">
        <f>MAX(K281:S281)</f>
        <v>4593.97</v>
      </c>
      <c r="AE281" s="9">
        <f>MIN(K281:S281)</f>
        <v>4191.22</v>
      </c>
      <c r="AG281" s="9">
        <f>+W281-AC281</f>
        <v>-662.6850000000004</v>
      </c>
      <c r="AH281" s="9">
        <f>+W281-AD281</f>
        <v>-864.0600000000004</v>
      </c>
      <c r="AI281" s="9">
        <f>+W281-AE281</f>
        <v>-461.3100000000004</v>
      </c>
      <c r="AK281" s="28">
        <f>+Y281-AC281</f>
        <v>-462.59500000000025</v>
      </c>
      <c r="AL281" s="28">
        <f>+Y281-AD281</f>
        <v>-663.97000000000025</v>
      </c>
      <c r="AM281" s="28">
        <f>+Y281-AE281</f>
        <v>-261.22000000000025</v>
      </c>
    </row>
    <row r="282" spans="1:39" s="16" customFormat="1" ht="11.25" customHeight="1" x14ac:dyDescent="0.2">
      <c r="A282" s="26"/>
      <c r="B282" s="26"/>
      <c r="C282" s="26"/>
      <c r="D282" s="26"/>
      <c r="E282" s="26"/>
      <c r="F282" s="26"/>
      <c r="G282" s="26" t="s">
        <v>287</v>
      </c>
      <c r="H282" s="31"/>
      <c r="I282" s="31"/>
      <c r="J282" s="31"/>
      <c r="K282" s="31"/>
      <c r="L282" s="31"/>
      <c r="M282" s="31"/>
      <c r="N282" s="31"/>
      <c r="O282" s="31"/>
      <c r="P282" s="31"/>
      <c r="Q282" s="28">
        <v>12222.55</v>
      </c>
      <c r="R282" s="28"/>
      <c r="S282" s="9">
        <v>7106.55</v>
      </c>
      <c r="T282" s="11"/>
      <c r="U282" s="11"/>
      <c r="V282" s="11"/>
      <c r="W282" s="8">
        <v>9381.1</v>
      </c>
      <c r="X282" s="11"/>
      <c r="Y282" s="11">
        <v>10215</v>
      </c>
      <c r="AA282" s="11">
        <v>10418</v>
      </c>
      <c r="AC282" s="11">
        <f>AVERAGE(K282:S282)</f>
        <v>9664.5499999999993</v>
      </c>
      <c r="AD282" s="11">
        <f>MAX(K282:S282)</f>
        <v>12222.55</v>
      </c>
      <c r="AE282" s="11">
        <f>MIN(K282:S282)</f>
        <v>7106.55</v>
      </c>
      <c r="AF282" s="1"/>
      <c r="AG282" s="11">
        <f>+W282-AC282</f>
        <v>-283.44999999999891</v>
      </c>
      <c r="AH282" s="11">
        <f>+W282-AD282</f>
        <v>-2841.4499999999989</v>
      </c>
      <c r="AI282" s="11">
        <f>+W282-AE282</f>
        <v>2274.5500000000002</v>
      </c>
      <c r="AJ282" s="1"/>
      <c r="AK282" s="31">
        <f>+Y282-AC282</f>
        <v>550.45000000000073</v>
      </c>
      <c r="AL282" s="31">
        <f>+Y282-AD282</f>
        <v>-2007.5499999999993</v>
      </c>
      <c r="AM282" s="31">
        <f>+Y282-AE282</f>
        <v>3108.45</v>
      </c>
    </row>
    <row r="283" spans="1:39" s="16" customFormat="1" ht="11.25" customHeight="1" x14ac:dyDescent="0.2">
      <c r="A283" s="26"/>
      <c r="B283" s="26"/>
      <c r="C283" s="26"/>
      <c r="D283" s="26"/>
      <c r="E283" s="26"/>
      <c r="F283" s="26"/>
      <c r="G283" s="26" t="s">
        <v>288</v>
      </c>
      <c r="H283" s="31"/>
      <c r="I283" s="31"/>
      <c r="J283" s="31"/>
      <c r="K283" s="31"/>
      <c r="L283" s="31"/>
      <c r="M283" s="31"/>
      <c r="N283" s="31"/>
      <c r="O283" s="31"/>
      <c r="P283" s="31"/>
      <c r="Q283" s="28"/>
      <c r="R283" s="28"/>
      <c r="S283" s="11">
        <v>0</v>
      </c>
      <c r="T283" s="11"/>
      <c r="U283" s="11"/>
      <c r="V283" s="11"/>
      <c r="W283" s="8">
        <v>1303.94</v>
      </c>
      <c r="X283" s="11"/>
      <c r="Y283" s="11">
        <v>1541</v>
      </c>
      <c r="AA283" s="11">
        <v>1572</v>
      </c>
      <c r="AC283" s="11">
        <f>AVERAGE(K283:S283)</f>
        <v>0</v>
      </c>
      <c r="AD283" s="11"/>
      <c r="AE283" s="11"/>
      <c r="AF283" s="1"/>
      <c r="AG283" s="11"/>
      <c r="AH283" s="11"/>
      <c r="AI283" s="11"/>
      <c r="AJ283" s="1"/>
      <c r="AK283" s="31"/>
      <c r="AL283" s="31"/>
      <c r="AM283" s="31"/>
    </row>
    <row r="284" spans="1:39" s="1" customFormat="1" ht="12" customHeight="1" thickBot="1" x14ac:dyDescent="0.25">
      <c r="A284" s="26"/>
      <c r="B284" s="26"/>
      <c r="C284" s="26"/>
      <c r="D284" s="26"/>
      <c r="E284" s="26"/>
      <c r="F284" s="26"/>
      <c r="G284" s="26" t="s">
        <v>289</v>
      </c>
      <c r="H284" s="28"/>
      <c r="I284" s="33"/>
      <c r="J284" s="28"/>
      <c r="K284" s="33"/>
      <c r="L284" s="28"/>
      <c r="M284" s="33"/>
      <c r="N284" s="28"/>
      <c r="O284" s="33"/>
      <c r="P284" s="33"/>
      <c r="Q284" s="33">
        <v>0</v>
      </c>
      <c r="R284" s="33"/>
      <c r="S284" s="14">
        <v>449.18</v>
      </c>
      <c r="T284" s="11"/>
      <c r="U284" s="11"/>
      <c r="V284" s="9"/>
      <c r="W284" s="13">
        <v>227.45</v>
      </c>
      <c r="X284" s="9"/>
      <c r="Y284" s="14">
        <v>406</v>
      </c>
      <c r="AA284" s="14">
        <v>350</v>
      </c>
      <c r="AC284" s="14">
        <f>AVERAGE(K284:S284)</f>
        <v>224.59</v>
      </c>
      <c r="AD284" s="14">
        <f>MAX(K284:S284)</f>
        <v>449.18</v>
      </c>
      <c r="AE284" s="14">
        <f>MIN(K284:S284)</f>
        <v>0</v>
      </c>
      <c r="AG284" s="14">
        <f>+W284-AC284</f>
        <v>2.8599999999999852</v>
      </c>
      <c r="AH284" s="14">
        <f>+W284-AD284</f>
        <v>-221.73000000000002</v>
      </c>
      <c r="AI284" s="14">
        <f>+W284-AE284</f>
        <v>227.45</v>
      </c>
      <c r="AK284" s="33">
        <f>+Y284-AC284</f>
        <v>181.41</v>
      </c>
      <c r="AL284" s="33">
        <f>+Y284-AD284</f>
        <v>-43.180000000000007</v>
      </c>
      <c r="AM284" s="33">
        <f>+Y284-AE284</f>
        <v>406</v>
      </c>
    </row>
    <row r="285" spans="1:39" s="1" customFormat="1" ht="11.25" customHeight="1" x14ac:dyDescent="0.2">
      <c r="A285" s="26"/>
      <c r="B285" s="26"/>
      <c r="C285" s="26"/>
      <c r="D285" s="26"/>
      <c r="E285" s="26"/>
      <c r="F285" s="26" t="s">
        <v>290</v>
      </c>
      <c r="G285" s="26"/>
      <c r="H285" s="28"/>
      <c r="I285" s="28">
        <f>ROUND(SUM(I279:I284),5)</f>
        <v>0</v>
      </c>
      <c r="J285" s="28"/>
      <c r="K285" s="28">
        <f>ROUND(SUM(K279:K284),5)</f>
        <v>0</v>
      </c>
      <c r="L285" s="28"/>
      <c r="M285" s="28">
        <f>ROUND(SUM(M279:M284),5)</f>
        <v>0</v>
      </c>
      <c r="N285" s="28"/>
      <c r="O285" s="28">
        <f>ROUND(SUM(O279:O284),5)</f>
        <v>0</v>
      </c>
      <c r="P285" s="28"/>
      <c r="Q285" s="28">
        <f>ROUND(SUM(Q279:Q284),5)</f>
        <v>72694.16</v>
      </c>
      <c r="R285" s="28"/>
      <c r="S285" s="9">
        <f>ROUND(SUM(S279:S284),5)</f>
        <v>61375.75</v>
      </c>
      <c r="T285" s="9"/>
      <c r="U285" s="9"/>
      <c r="V285" s="9"/>
      <c r="W285" s="9">
        <f>ROUND(SUM(W279:W284),5)</f>
        <v>60086.19</v>
      </c>
      <c r="X285" s="9"/>
      <c r="Y285" s="9">
        <f>ROUND(SUM(Y279:Y284),5)</f>
        <v>67463</v>
      </c>
      <c r="AA285" s="9">
        <f>ROUND(SUM(AA279:AA284),5)</f>
        <v>69394.5</v>
      </c>
      <c r="AC285" s="39">
        <f>ROUND(SUM(AC279:AC284),5)</f>
        <v>67034.955000000002</v>
      </c>
      <c r="AD285" s="39">
        <f>ROUND(SUM(AD279:AD284),5)</f>
        <v>73143.34</v>
      </c>
      <c r="AE285" s="39">
        <f>ROUND(SUM(AE279:AE284),5)</f>
        <v>60926.57</v>
      </c>
      <c r="AG285" s="39">
        <f>ROUND(SUM(AG279:AG284),5)</f>
        <v>-8252.7049999999999</v>
      </c>
      <c r="AH285" s="39">
        <f>ROUND(SUM(AH279:AH284),5)</f>
        <v>-14361.09</v>
      </c>
      <c r="AI285" s="39">
        <f>ROUND(SUM(AI279:AI284),5)</f>
        <v>-2144.3200000000002</v>
      </c>
      <c r="AK285" s="28">
        <f>ROUND(SUM(AK279:AK284),5)</f>
        <v>-1112.9549999999999</v>
      </c>
      <c r="AL285" s="28">
        <f>ROUND(SUM(AL279:AL284),5)</f>
        <v>-7221.34</v>
      </c>
      <c r="AM285" s="28">
        <f>ROUND(SUM(AM279:AM284),5)</f>
        <v>4995.43</v>
      </c>
    </row>
    <row r="286" spans="1:39" s="1" customFormat="1" ht="11.25" customHeight="1" x14ac:dyDescent="0.2">
      <c r="A286" s="26"/>
      <c r="B286" s="26"/>
      <c r="C286" s="26"/>
      <c r="D286" s="26"/>
      <c r="E286" s="26"/>
      <c r="F286" s="26" t="s">
        <v>291</v>
      </c>
      <c r="G286" s="26"/>
      <c r="H286" s="28"/>
      <c r="I286" s="28"/>
      <c r="J286" s="28"/>
      <c r="K286" s="28"/>
      <c r="L286" s="28"/>
      <c r="M286" s="28"/>
      <c r="N286" s="28"/>
      <c r="O286" s="28"/>
      <c r="P286" s="28"/>
      <c r="Q286" s="28"/>
      <c r="R286" s="28"/>
      <c r="S286" s="9"/>
      <c r="T286" s="9"/>
      <c r="U286" s="9"/>
      <c r="V286" s="9"/>
      <c r="W286" s="9"/>
      <c r="X286" s="9"/>
      <c r="Y286" s="9"/>
      <c r="AA286" s="9"/>
      <c r="AC286" s="28"/>
      <c r="AD286" s="28"/>
      <c r="AE286" s="28"/>
      <c r="AG286" s="28"/>
      <c r="AH286" s="28"/>
      <c r="AI286" s="28"/>
      <c r="AK286" s="28"/>
      <c r="AL286" s="28"/>
      <c r="AM286" s="28"/>
    </row>
    <row r="287" spans="1:39" s="1" customFormat="1" ht="12" customHeight="1" thickBot="1" x14ac:dyDescent="0.25">
      <c r="A287" s="26"/>
      <c r="B287" s="26"/>
      <c r="C287" s="26"/>
      <c r="D287" s="26"/>
      <c r="E287" s="26"/>
      <c r="F287" s="26"/>
      <c r="G287" s="26" t="s">
        <v>292</v>
      </c>
      <c r="H287" s="28"/>
      <c r="I287" s="33"/>
      <c r="J287" s="28"/>
      <c r="K287" s="33"/>
      <c r="L287" s="28"/>
      <c r="M287" s="33"/>
      <c r="N287" s="28"/>
      <c r="O287" s="33"/>
      <c r="P287" s="33"/>
      <c r="Q287" s="33">
        <v>1587.55</v>
      </c>
      <c r="R287" s="33"/>
      <c r="S287" s="14">
        <v>635.64</v>
      </c>
      <c r="T287" s="11"/>
      <c r="U287" s="11"/>
      <c r="V287" s="9"/>
      <c r="W287" s="14">
        <v>844.59</v>
      </c>
      <c r="X287" s="9"/>
      <c r="Y287" s="14">
        <v>1500</v>
      </c>
      <c r="AA287" s="14">
        <v>1500</v>
      </c>
      <c r="AC287" s="14">
        <f>AVERAGE(K287:S287)</f>
        <v>1111.595</v>
      </c>
      <c r="AD287" s="14">
        <f>MAX(K287:S287)</f>
        <v>1587.55</v>
      </c>
      <c r="AE287" s="14">
        <f>MIN(K287:S287)</f>
        <v>635.64</v>
      </c>
      <c r="AG287" s="14">
        <f>+W287-AC287</f>
        <v>-267.005</v>
      </c>
      <c r="AH287" s="14">
        <f>+W287-AD287</f>
        <v>-742.95999999999992</v>
      </c>
      <c r="AI287" s="14">
        <f>+W287-AE287</f>
        <v>208.95000000000005</v>
      </c>
      <c r="AK287" s="33">
        <f>+Y287-AC287</f>
        <v>388.40499999999997</v>
      </c>
      <c r="AL287" s="33">
        <f>+Y287-AD287</f>
        <v>-87.549999999999955</v>
      </c>
      <c r="AM287" s="33">
        <f>+Y287-AE287</f>
        <v>864.36</v>
      </c>
    </row>
    <row r="288" spans="1:39" s="1" customFormat="1" ht="11.25" customHeight="1" x14ac:dyDescent="0.2">
      <c r="A288" s="26"/>
      <c r="B288" s="26"/>
      <c r="C288" s="26"/>
      <c r="D288" s="26"/>
      <c r="E288" s="26"/>
      <c r="F288" s="26" t="s">
        <v>293</v>
      </c>
      <c r="G288" s="26"/>
      <c r="H288" s="28"/>
      <c r="I288" s="28">
        <f>ROUND(SUM(I286:I287),5)</f>
        <v>0</v>
      </c>
      <c r="J288" s="28"/>
      <c r="K288" s="28">
        <f>ROUND(SUM(K286:K287),5)</f>
        <v>0</v>
      </c>
      <c r="L288" s="28"/>
      <c r="M288" s="28">
        <f>ROUND(SUM(M286:M287),5)</f>
        <v>0</v>
      </c>
      <c r="N288" s="28"/>
      <c r="O288" s="28">
        <f>ROUND(SUM(O286:O287),5)</f>
        <v>0</v>
      </c>
      <c r="P288" s="28"/>
      <c r="Q288" s="28">
        <f>ROUND(SUM(Q286:Q287),5)</f>
        <v>1587.55</v>
      </c>
      <c r="R288" s="28"/>
      <c r="S288" s="9">
        <f>ROUND(SUM(S286:S287),5)</f>
        <v>635.64</v>
      </c>
      <c r="T288" s="9"/>
      <c r="U288" s="9"/>
      <c r="V288" s="9"/>
      <c r="W288" s="9">
        <f>ROUND(SUM(W286:W287),5)</f>
        <v>844.59</v>
      </c>
      <c r="X288" s="9"/>
      <c r="Y288" s="9">
        <f>ROUND(SUM(Y286:Y287),5)</f>
        <v>1500</v>
      </c>
      <c r="AA288" s="9">
        <f>ROUND(SUM(AA286:AA287),5)</f>
        <v>1500</v>
      </c>
      <c r="AC288" s="39">
        <f t="shared" ref="AC288:AE288" si="149">ROUND(SUM(AC286:AC287),5)</f>
        <v>1111.595</v>
      </c>
      <c r="AD288" s="39">
        <f t="shared" si="149"/>
        <v>1587.55</v>
      </c>
      <c r="AE288" s="39">
        <f t="shared" si="149"/>
        <v>635.64</v>
      </c>
      <c r="AG288" s="39">
        <f t="shared" ref="AG288:AI288" si="150">ROUND(SUM(AG286:AG287),5)</f>
        <v>-267.005</v>
      </c>
      <c r="AH288" s="39">
        <f t="shared" si="150"/>
        <v>-742.96</v>
      </c>
      <c r="AI288" s="39">
        <f t="shared" si="150"/>
        <v>208.95</v>
      </c>
      <c r="AK288" s="28">
        <f t="shared" ref="AK288:AM288" si="151">ROUND(SUM(AK286:AK287),5)</f>
        <v>388.40499999999997</v>
      </c>
      <c r="AL288" s="28">
        <f t="shared" si="151"/>
        <v>-87.55</v>
      </c>
      <c r="AM288" s="28">
        <f t="shared" si="151"/>
        <v>864.36</v>
      </c>
    </row>
    <row r="289" spans="1:39" s="1" customFormat="1" ht="11.25" customHeight="1" x14ac:dyDescent="0.2">
      <c r="A289" s="26"/>
      <c r="B289" s="26"/>
      <c r="C289" s="26"/>
      <c r="D289" s="26"/>
      <c r="E289" s="26"/>
      <c r="F289" s="26" t="s">
        <v>294</v>
      </c>
      <c r="G289" s="26"/>
      <c r="H289" s="28"/>
      <c r="I289" s="28"/>
      <c r="J289" s="28"/>
      <c r="K289" s="28"/>
      <c r="L289" s="28"/>
      <c r="M289" s="28"/>
      <c r="N289" s="28"/>
      <c r="O289" s="28"/>
      <c r="P289" s="28"/>
      <c r="Q289" s="28"/>
      <c r="R289" s="28"/>
      <c r="S289" s="9"/>
      <c r="T289" s="9"/>
      <c r="U289" s="9"/>
      <c r="V289" s="9"/>
      <c r="W289" s="9"/>
      <c r="X289" s="9"/>
      <c r="Y289" s="9"/>
      <c r="AA289" s="9"/>
      <c r="AC289" s="28"/>
      <c r="AD289" s="28"/>
      <c r="AE289" s="28"/>
      <c r="AG289" s="28"/>
      <c r="AH289" s="28"/>
      <c r="AI289" s="28"/>
      <c r="AK289" s="28"/>
      <c r="AL289" s="28"/>
      <c r="AM289" s="28"/>
    </row>
    <row r="290" spans="1:39" s="1" customFormat="1" ht="11.25" customHeight="1" x14ac:dyDescent="0.2">
      <c r="A290" s="26"/>
      <c r="B290" s="26"/>
      <c r="C290" s="26"/>
      <c r="D290" s="26"/>
      <c r="E290" s="26"/>
      <c r="F290" s="26"/>
      <c r="G290" s="26" t="s">
        <v>295</v>
      </c>
      <c r="H290" s="28"/>
      <c r="I290" s="28"/>
      <c r="J290" s="28"/>
      <c r="K290" s="28"/>
      <c r="L290" s="28"/>
      <c r="M290" s="28"/>
      <c r="N290" s="28"/>
      <c r="O290" s="28"/>
      <c r="P290" s="28"/>
      <c r="Q290" s="28">
        <v>602.33000000000004</v>
      </c>
      <c r="R290" s="28"/>
      <c r="S290" s="9">
        <v>541.76</v>
      </c>
      <c r="T290" s="9"/>
      <c r="U290" s="9"/>
      <c r="V290" s="9"/>
      <c r="W290" s="8">
        <v>456.86</v>
      </c>
      <c r="X290" s="9"/>
      <c r="Y290" s="9">
        <v>625</v>
      </c>
      <c r="AA290" s="9">
        <v>700</v>
      </c>
      <c r="AC290" s="9">
        <f t="shared" ref="AC290:AC295" si="152">AVERAGE(K290:S290)</f>
        <v>572.04500000000007</v>
      </c>
      <c r="AD290" s="9">
        <f>MAX(K290:S290)</f>
        <v>602.33000000000004</v>
      </c>
      <c r="AE290" s="9">
        <f>MIN(K290:S290)</f>
        <v>541.76</v>
      </c>
      <c r="AG290" s="9">
        <f>+W290-AC290</f>
        <v>-115.18500000000006</v>
      </c>
      <c r="AH290" s="9">
        <f>+W290-AD290</f>
        <v>-145.47000000000003</v>
      </c>
      <c r="AI290" s="9">
        <f>+W290-AE290</f>
        <v>-84.899999999999977</v>
      </c>
      <c r="AK290" s="28">
        <f>+Y290-AC290</f>
        <v>52.954999999999927</v>
      </c>
      <c r="AL290" s="28">
        <f>+Y290-AD290</f>
        <v>22.669999999999959</v>
      </c>
      <c r="AM290" s="28">
        <f>+Y290-AE290</f>
        <v>83.240000000000009</v>
      </c>
    </row>
    <row r="291" spans="1:39" s="1" customFormat="1" ht="11.25" customHeight="1" x14ac:dyDescent="0.2">
      <c r="A291" s="26"/>
      <c r="B291" s="26"/>
      <c r="C291" s="26"/>
      <c r="D291" s="26"/>
      <c r="E291" s="26"/>
      <c r="F291" s="26"/>
      <c r="G291" s="26" t="s">
        <v>296</v>
      </c>
      <c r="H291" s="28"/>
      <c r="I291" s="28"/>
      <c r="J291" s="28"/>
      <c r="K291" s="28"/>
      <c r="L291" s="28"/>
      <c r="M291" s="28"/>
      <c r="N291" s="28"/>
      <c r="O291" s="28"/>
      <c r="P291" s="28"/>
      <c r="Q291" s="28"/>
      <c r="R291" s="28"/>
      <c r="S291" s="9">
        <v>6.85</v>
      </c>
      <c r="T291" s="9"/>
      <c r="U291" s="9"/>
      <c r="V291" s="9"/>
      <c r="W291" s="8">
        <v>13.9</v>
      </c>
      <c r="X291" s="9"/>
      <c r="Y291" s="9">
        <v>50</v>
      </c>
      <c r="AA291" s="9"/>
      <c r="AC291" s="9">
        <f t="shared" si="152"/>
        <v>6.85</v>
      </c>
      <c r="AD291" s="9"/>
      <c r="AE291" s="9"/>
      <c r="AG291" s="9"/>
      <c r="AH291" s="9"/>
      <c r="AI291" s="9"/>
      <c r="AK291" s="28"/>
      <c r="AL291" s="28"/>
      <c r="AM291" s="28"/>
    </row>
    <row r="292" spans="1:39" s="1" customFormat="1" ht="11.25" customHeight="1" x14ac:dyDescent="0.2">
      <c r="A292" s="26"/>
      <c r="B292" s="26"/>
      <c r="C292" s="26"/>
      <c r="D292" s="26"/>
      <c r="E292" s="26"/>
      <c r="F292" s="26"/>
      <c r="G292" s="26" t="s">
        <v>297</v>
      </c>
      <c r="H292" s="28"/>
      <c r="I292" s="28"/>
      <c r="J292" s="28"/>
      <c r="K292" s="28"/>
      <c r="L292" s="28"/>
      <c r="M292" s="28"/>
      <c r="N292" s="28"/>
      <c r="O292" s="28"/>
      <c r="P292" s="28"/>
      <c r="Q292" s="28">
        <v>40</v>
      </c>
      <c r="R292" s="28"/>
      <c r="S292" s="9">
        <v>452.03</v>
      </c>
      <c r="T292" s="9"/>
      <c r="U292" s="9"/>
      <c r="V292" s="9"/>
      <c r="W292" s="8">
        <v>145</v>
      </c>
      <c r="X292" s="9"/>
      <c r="Y292" s="9">
        <v>200</v>
      </c>
      <c r="AA292" s="9">
        <v>500</v>
      </c>
      <c r="AC292" s="9">
        <f t="shared" si="152"/>
        <v>246.01499999999999</v>
      </c>
      <c r="AD292" s="9">
        <f>MAX(K292:S292)</f>
        <v>452.03</v>
      </c>
      <c r="AE292" s="9">
        <f>MIN(K292:S292)</f>
        <v>40</v>
      </c>
      <c r="AG292" s="9">
        <f>+W292-AC292</f>
        <v>-101.01499999999999</v>
      </c>
      <c r="AH292" s="9">
        <f>+W292-AD292</f>
        <v>-307.02999999999997</v>
      </c>
      <c r="AI292" s="9">
        <f>+W292-AE292</f>
        <v>105</v>
      </c>
      <c r="AK292" s="28">
        <f>+Y292-AC292</f>
        <v>-46.014999999999986</v>
      </c>
      <c r="AL292" s="28">
        <f>+Y292-AD292</f>
        <v>-252.02999999999997</v>
      </c>
      <c r="AM292" s="28">
        <f>+Y292-AE292</f>
        <v>160</v>
      </c>
    </row>
    <row r="293" spans="1:39" s="1" customFormat="1" ht="11.25" customHeight="1" x14ac:dyDescent="0.2">
      <c r="A293" s="26"/>
      <c r="B293" s="26"/>
      <c r="C293" s="26"/>
      <c r="D293" s="26"/>
      <c r="E293" s="26"/>
      <c r="F293" s="26"/>
      <c r="G293" s="26" t="s">
        <v>298</v>
      </c>
      <c r="H293" s="28"/>
      <c r="I293" s="28"/>
      <c r="J293" s="28"/>
      <c r="K293" s="28"/>
      <c r="L293" s="28"/>
      <c r="M293" s="28"/>
      <c r="N293" s="28"/>
      <c r="O293" s="28"/>
      <c r="P293" s="28"/>
      <c r="Q293" s="28">
        <v>1918.57</v>
      </c>
      <c r="R293" s="28"/>
      <c r="S293" s="9">
        <v>1075</v>
      </c>
      <c r="T293" s="9"/>
      <c r="U293" s="9"/>
      <c r="V293" s="9"/>
      <c r="W293" s="8">
        <v>155</v>
      </c>
      <c r="X293" s="9"/>
      <c r="Y293" s="9">
        <v>2500</v>
      </c>
      <c r="AA293" s="9">
        <v>1000</v>
      </c>
      <c r="AC293" s="9">
        <f t="shared" si="152"/>
        <v>1496.7849999999999</v>
      </c>
      <c r="AD293" s="9">
        <f>MAX(K293:S293)</f>
        <v>1918.57</v>
      </c>
      <c r="AE293" s="9">
        <f>MIN(K293:S293)</f>
        <v>1075</v>
      </c>
      <c r="AG293" s="9">
        <f>+W293-AC293</f>
        <v>-1341.7849999999999</v>
      </c>
      <c r="AH293" s="9">
        <f>+W293-AD293</f>
        <v>-1763.57</v>
      </c>
      <c r="AI293" s="9">
        <f>+W293-AE293</f>
        <v>-920</v>
      </c>
      <c r="AK293" s="28">
        <f>+Y293-AC293</f>
        <v>1003.2150000000001</v>
      </c>
      <c r="AL293" s="28">
        <f>+Y293-AD293</f>
        <v>581.43000000000006</v>
      </c>
      <c r="AM293" s="28">
        <f>+Y293-AE293</f>
        <v>1425</v>
      </c>
    </row>
    <row r="294" spans="1:39" s="1" customFormat="1" ht="11.25" customHeight="1" x14ac:dyDescent="0.2">
      <c r="A294" s="26"/>
      <c r="B294" s="26"/>
      <c r="C294" s="26"/>
      <c r="D294" s="26"/>
      <c r="E294" s="26"/>
      <c r="F294" s="26"/>
      <c r="G294" s="26" t="s">
        <v>299</v>
      </c>
      <c r="H294" s="28"/>
      <c r="I294" s="28"/>
      <c r="J294" s="28"/>
      <c r="K294" s="28"/>
      <c r="L294" s="28"/>
      <c r="M294" s="28"/>
      <c r="N294" s="28"/>
      <c r="O294" s="28"/>
      <c r="P294" s="28"/>
      <c r="Q294" s="28">
        <v>67.150000000000006</v>
      </c>
      <c r="R294" s="28"/>
      <c r="S294" s="9">
        <v>1203.96</v>
      </c>
      <c r="T294" s="9"/>
      <c r="U294" s="9"/>
      <c r="V294" s="9"/>
      <c r="W294" s="8">
        <v>738.69</v>
      </c>
      <c r="X294" s="9"/>
      <c r="Y294" s="9">
        <v>500</v>
      </c>
      <c r="AA294" s="9">
        <v>750</v>
      </c>
      <c r="AC294" s="9">
        <f t="shared" si="152"/>
        <v>635.55500000000006</v>
      </c>
      <c r="AD294" s="9"/>
      <c r="AE294" s="9"/>
      <c r="AG294" s="9"/>
      <c r="AH294" s="9"/>
      <c r="AI294" s="9"/>
      <c r="AK294" s="28"/>
      <c r="AL294" s="28"/>
      <c r="AM294" s="28"/>
    </row>
    <row r="295" spans="1:39" s="1" customFormat="1" ht="12" customHeight="1" thickBot="1" x14ac:dyDescent="0.25">
      <c r="A295" s="26"/>
      <c r="B295" s="26"/>
      <c r="C295" s="26"/>
      <c r="D295" s="26"/>
      <c r="E295" s="26"/>
      <c r="F295" s="26"/>
      <c r="G295" s="26" t="s">
        <v>300</v>
      </c>
      <c r="H295" s="28"/>
      <c r="I295" s="33"/>
      <c r="J295" s="28"/>
      <c r="K295" s="33"/>
      <c r="L295" s="28"/>
      <c r="M295" s="33"/>
      <c r="N295" s="28"/>
      <c r="O295" s="33"/>
      <c r="P295" s="33"/>
      <c r="Q295" s="28">
        <v>61.99</v>
      </c>
      <c r="R295" s="28"/>
      <c r="S295" s="9">
        <v>103.34</v>
      </c>
      <c r="T295" s="11"/>
      <c r="U295" s="11"/>
      <c r="V295" s="9"/>
      <c r="W295" s="14">
        <v>0</v>
      </c>
      <c r="X295" s="9"/>
      <c r="Y295" s="14">
        <v>500</v>
      </c>
      <c r="AA295" s="14">
        <v>250</v>
      </c>
      <c r="AC295" s="14">
        <f t="shared" si="152"/>
        <v>82.665000000000006</v>
      </c>
      <c r="AD295" s="14">
        <f>MAX(K295:S295)</f>
        <v>103.34</v>
      </c>
      <c r="AE295" s="14">
        <f>MIN(K295:S295)</f>
        <v>61.99</v>
      </c>
      <c r="AG295" s="14">
        <f>+W295-AC295</f>
        <v>-82.665000000000006</v>
      </c>
      <c r="AH295" s="14">
        <f>+W295-AD295</f>
        <v>-103.34</v>
      </c>
      <c r="AI295" s="14">
        <f>+W295-AE295</f>
        <v>-61.99</v>
      </c>
      <c r="AK295" s="33">
        <f>+Y295-AC295</f>
        <v>417.33499999999998</v>
      </c>
      <c r="AL295" s="33">
        <f>+Y295-AD295</f>
        <v>396.65999999999997</v>
      </c>
      <c r="AM295" s="33">
        <f>+Y295-AE295</f>
        <v>438.01</v>
      </c>
    </row>
    <row r="296" spans="1:39" s="1" customFormat="1" ht="12" customHeight="1" thickBot="1" x14ac:dyDescent="0.25">
      <c r="A296" s="26"/>
      <c r="B296" s="26"/>
      <c r="C296" s="26"/>
      <c r="D296" s="26"/>
      <c r="E296" s="26"/>
      <c r="F296" s="26" t="s">
        <v>301</v>
      </c>
      <c r="G296" s="26"/>
      <c r="H296" s="28"/>
      <c r="I296" s="40">
        <f>ROUND(SUM(I289:I295),5)</f>
        <v>0</v>
      </c>
      <c r="J296" s="28"/>
      <c r="K296" s="40">
        <f>ROUND(SUM(K289:K295),5)</f>
        <v>0</v>
      </c>
      <c r="L296" s="28"/>
      <c r="M296" s="40">
        <f>ROUND(SUM(M289:M295),5)</f>
        <v>0</v>
      </c>
      <c r="N296" s="28"/>
      <c r="O296" s="40">
        <f>ROUND(SUM(O289:O295),5)</f>
        <v>0</v>
      </c>
      <c r="P296" s="28"/>
      <c r="Q296" s="32">
        <f>ROUND(SUM(Q289:Q295),5)</f>
        <v>2690.04</v>
      </c>
      <c r="R296" s="33"/>
      <c r="S296" s="32">
        <f>ROUND(SUM(S289:S295),5)</f>
        <v>3382.94</v>
      </c>
      <c r="T296" s="9"/>
      <c r="U296" s="9"/>
      <c r="V296" s="9"/>
      <c r="W296" s="14">
        <f>ROUND(SUM(W289:W295),5)</f>
        <v>1509.45</v>
      </c>
      <c r="X296" s="14"/>
      <c r="Y296" s="14">
        <f>ROUND(SUM(Y289:Y295),5)</f>
        <v>4375</v>
      </c>
      <c r="Z296" s="41"/>
      <c r="AA296" s="14">
        <f>ROUND(SUM(AA289:AA295),5)</f>
        <v>3200</v>
      </c>
      <c r="AB296" s="41"/>
      <c r="AC296" s="42">
        <f>ROUND(SUM(AC289:AC295),5)</f>
        <v>3039.915</v>
      </c>
      <c r="AD296" s="42">
        <f>ROUND(SUM(AD289:AD295),5)</f>
        <v>3076.27</v>
      </c>
      <c r="AE296" s="42">
        <f>ROUND(SUM(AE289:AE295),5)</f>
        <v>1718.75</v>
      </c>
      <c r="AF296" s="41"/>
      <c r="AG296" s="42">
        <f>ROUND(SUM(AG289:AG295),5)</f>
        <v>-1640.65</v>
      </c>
      <c r="AH296" s="42">
        <f>ROUND(SUM(AH289:AH295),5)</f>
        <v>-2319.41</v>
      </c>
      <c r="AI296" s="42">
        <f>ROUND(SUM(AI289:AI295),5)</f>
        <v>-961.89</v>
      </c>
      <c r="AJ296" s="41"/>
      <c r="AK296" s="28">
        <f>ROUND(SUM(AK289:AK295),5)</f>
        <v>1427.49</v>
      </c>
      <c r="AL296" s="28">
        <f>ROUND(SUM(AL289:AL295),5)</f>
        <v>748.73</v>
      </c>
      <c r="AM296" s="28">
        <f>ROUND(SUM(AM289:AM295),5)</f>
        <v>2106.25</v>
      </c>
    </row>
    <row r="297" spans="1:39" s="1" customFormat="1" ht="11.25" customHeight="1" x14ac:dyDescent="0.2">
      <c r="A297" s="26"/>
      <c r="B297" s="26"/>
      <c r="C297" s="26"/>
      <c r="D297" s="26"/>
      <c r="E297" s="35" t="s">
        <v>302</v>
      </c>
      <c r="F297" s="26"/>
      <c r="G297" s="26"/>
      <c r="H297" s="28"/>
      <c r="I297" s="27">
        <f>ROUND(I278+I285+I288+I296,5)</f>
        <v>0</v>
      </c>
      <c r="J297" s="28"/>
      <c r="K297" s="27">
        <f>ROUND(K278+K285+K288+K296,5)</f>
        <v>0</v>
      </c>
      <c r="L297" s="28"/>
      <c r="M297" s="27">
        <f>ROUND(M278+M285+M288+M296,5)</f>
        <v>0</v>
      </c>
      <c r="N297" s="28"/>
      <c r="O297" s="27">
        <f>ROUND(O278+O285+O288+O296,5)</f>
        <v>0</v>
      </c>
      <c r="P297" s="28"/>
      <c r="Q297" s="28">
        <f>ROUND(Q278+Q285+Q288+Q296,5)</f>
        <v>76971.75</v>
      </c>
      <c r="R297" s="28"/>
      <c r="S297" s="9">
        <f>ROUND(S278+S285+S288+SUM(S296:S296),5)</f>
        <v>65394.33</v>
      </c>
      <c r="T297" s="9"/>
      <c r="U297" s="9"/>
      <c r="V297" s="9"/>
      <c r="W297" s="9">
        <f>ROUND(W278+W285+W288+SUM(W296:W296),5)</f>
        <v>62440.23</v>
      </c>
      <c r="X297" s="9"/>
      <c r="Y297" s="9">
        <f>ROUND(Y278+Y285+Y288+SUM(Y296:Y296),5)</f>
        <v>73338</v>
      </c>
      <c r="AA297" s="9">
        <f>ROUND(AA278+AA285+AA288+SUM(AA296:AA296),5)</f>
        <v>74094.5</v>
      </c>
      <c r="AC297" s="39">
        <f>ROUND(AC278+AC285+AC288+SUM(AC296:AC296),5)</f>
        <v>71186.464999999997</v>
      </c>
      <c r="AD297" s="39">
        <f>ROUND(AD278+AD285+AD288+SUM(AD296:AD296),5)</f>
        <v>77807.16</v>
      </c>
      <c r="AE297" s="39">
        <f>ROUND(AE278+AE285+AE288+SUM(AE296:AE296),5)</f>
        <v>63280.959999999999</v>
      </c>
      <c r="AG297" s="39">
        <f>ROUND(AG278+AG285+AG288+SUM(AG296:AG296),5)</f>
        <v>-10160.36</v>
      </c>
      <c r="AH297" s="39">
        <f>ROUND(AH278+AH285+AH288+SUM(AH296:AH296),5)</f>
        <v>-17423.46</v>
      </c>
      <c r="AI297" s="39">
        <f>ROUND(AI278+AI285+AI288+SUM(AI296:AI296),5)</f>
        <v>-2897.26</v>
      </c>
      <c r="AK297" s="28">
        <f>ROUND(AK278+AK285+AK288+SUM(AK296:AK296),5)</f>
        <v>702.94</v>
      </c>
      <c r="AL297" s="28">
        <f>ROUND(AL278+AL285+AL288+SUM(AL296:AL296),5)</f>
        <v>-6560.16</v>
      </c>
      <c r="AM297" s="28">
        <f>ROUND(AM278+AM285+AM288+SUM(AM296:AM296),5)</f>
        <v>7966.04</v>
      </c>
    </row>
    <row r="298" spans="1:39" s="1" customFormat="1" ht="11.25" customHeight="1" x14ac:dyDescent="0.2">
      <c r="A298" s="26"/>
      <c r="B298" s="26"/>
      <c r="C298" s="26"/>
      <c r="D298" s="26"/>
      <c r="E298" s="26"/>
      <c r="F298" s="26"/>
      <c r="G298" s="26"/>
      <c r="H298" s="28"/>
      <c r="I298" s="28"/>
      <c r="J298" s="28"/>
      <c r="K298" s="28"/>
      <c r="L298" s="28"/>
      <c r="M298" s="28"/>
      <c r="N298" s="28"/>
      <c r="O298" s="28"/>
      <c r="P298" s="28"/>
      <c r="Q298" s="28"/>
      <c r="R298" s="28"/>
      <c r="S298" s="9"/>
      <c r="T298" s="9"/>
      <c r="U298" s="9"/>
      <c r="V298" s="9"/>
      <c r="W298" s="9"/>
      <c r="X298" s="9"/>
      <c r="Y298" s="9"/>
      <c r="AA298" s="9"/>
      <c r="AC298" s="28"/>
      <c r="AD298" s="28"/>
      <c r="AE298" s="28"/>
      <c r="AG298" s="28"/>
      <c r="AH298" s="28"/>
      <c r="AI298" s="28"/>
      <c r="AK298" s="28"/>
      <c r="AL298" s="28"/>
      <c r="AM298" s="28"/>
    </row>
    <row r="299" spans="1:39" s="1" customFormat="1" x14ac:dyDescent="0.2">
      <c r="A299" s="26"/>
      <c r="B299" s="26"/>
      <c r="C299" s="26"/>
      <c r="D299" s="26"/>
      <c r="E299" s="35" t="s">
        <v>303</v>
      </c>
      <c r="F299" s="26"/>
      <c r="G299" s="26"/>
      <c r="H299" s="28"/>
      <c r="I299" s="28"/>
      <c r="J299" s="28"/>
      <c r="K299" s="28"/>
      <c r="L299" s="28"/>
      <c r="M299" s="28"/>
      <c r="N299" s="28"/>
      <c r="O299" s="28"/>
      <c r="P299" s="28"/>
      <c r="Q299" s="28"/>
      <c r="R299" s="28"/>
      <c r="S299" s="9"/>
      <c r="T299" s="9"/>
      <c r="U299" s="9"/>
      <c r="V299" s="9"/>
      <c r="W299" s="9"/>
      <c r="X299" s="9"/>
      <c r="Y299" s="9"/>
      <c r="AA299" s="9"/>
      <c r="AC299" s="28"/>
      <c r="AD299" s="28"/>
      <c r="AE299" s="28"/>
      <c r="AG299" s="28"/>
      <c r="AH299" s="28"/>
      <c r="AI299" s="28"/>
      <c r="AK299" s="28"/>
      <c r="AL299" s="28"/>
      <c r="AM299" s="28"/>
    </row>
    <row r="300" spans="1:39" s="1" customFormat="1" x14ac:dyDescent="0.2">
      <c r="A300" s="26"/>
      <c r="B300" s="26"/>
      <c r="C300" s="26"/>
      <c r="D300" s="26"/>
      <c r="E300" s="26"/>
      <c r="F300" s="26" t="s">
        <v>304</v>
      </c>
      <c r="G300" s="26"/>
      <c r="H300" s="28"/>
      <c r="I300" s="28"/>
      <c r="J300" s="28"/>
      <c r="K300" s="28"/>
      <c r="L300" s="28"/>
      <c r="M300" s="28"/>
      <c r="N300" s="28"/>
      <c r="O300" s="28"/>
      <c r="P300" s="28"/>
      <c r="Q300" s="28"/>
      <c r="R300" s="28"/>
      <c r="S300" s="9"/>
      <c r="T300" s="9"/>
      <c r="U300" s="9"/>
      <c r="V300" s="9"/>
      <c r="W300" s="9"/>
      <c r="X300" s="9"/>
      <c r="Y300" s="9"/>
      <c r="AA300" s="9"/>
      <c r="AC300" s="28"/>
      <c r="AD300" s="28"/>
      <c r="AE300" s="28"/>
      <c r="AG300" s="28"/>
      <c r="AH300" s="28"/>
      <c r="AI300" s="28"/>
      <c r="AK300" s="28"/>
      <c r="AL300" s="28"/>
      <c r="AM300" s="28"/>
    </row>
    <row r="301" spans="1:39" s="1" customFormat="1" x14ac:dyDescent="0.2">
      <c r="A301" s="26"/>
      <c r="B301" s="26"/>
      <c r="C301" s="26"/>
      <c r="D301" s="26"/>
      <c r="E301" s="26"/>
      <c r="F301" s="26"/>
      <c r="G301" s="26" t="s">
        <v>305</v>
      </c>
      <c r="H301" s="28"/>
      <c r="I301" s="28">
        <v>47606</v>
      </c>
      <c r="J301" s="28"/>
      <c r="K301" s="28">
        <v>47334</v>
      </c>
      <c r="L301" s="28"/>
      <c r="M301" s="28">
        <f>56368</f>
        <v>56368</v>
      </c>
      <c r="N301" s="28"/>
      <c r="O301" s="28">
        <v>58903.8</v>
      </c>
      <c r="P301" s="28"/>
      <c r="Q301" s="28">
        <v>55148.14</v>
      </c>
      <c r="R301" s="28"/>
      <c r="S301" s="9">
        <v>62536.25</v>
      </c>
      <c r="T301" s="9"/>
      <c r="U301" s="9"/>
      <c r="V301" s="9"/>
      <c r="W301" s="8">
        <v>37022.47</v>
      </c>
      <c r="X301" s="9"/>
      <c r="Y301" s="9">
        <v>68350</v>
      </c>
      <c r="AA301" s="9">
        <v>89037</v>
      </c>
      <c r="AC301" s="9">
        <f>AVERAGE(K301:S301)</f>
        <v>56058.038</v>
      </c>
      <c r="AD301" s="9">
        <f>MAX(K301:S301)</f>
        <v>62536.25</v>
      </c>
      <c r="AE301" s="9">
        <f>MIN(K301:S301)</f>
        <v>47334</v>
      </c>
      <c r="AG301" s="9">
        <f>+W301-AC301</f>
        <v>-19035.567999999999</v>
      </c>
      <c r="AH301" s="9">
        <f>+W301-AD301</f>
        <v>-25513.78</v>
      </c>
      <c r="AI301" s="9">
        <f>+W301-AE301</f>
        <v>-10311.529999999999</v>
      </c>
      <c r="AK301" s="28">
        <f>+Y301-AC301</f>
        <v>12291.962</v>
      </c>
      <c r="AL301" s="28">
        <f>+Y301-AD301</f>
        <v>5813.75</v>
      </c>
      <c r="AM301" s="28">
        <f>+Y301-AE301</f>
        <v>21016</v>
      </c>
    </row>
    <row r="302" spans="1:39" s="1" customFormat="1" x14ac:dyDescent="0.2">
      <c r="A302" s="26"/>
      <c r="B302" s="26"/>
      <c r="C302" s="26"/>
      <c r="D302" s="26"/>
      <c r="E302" s="26"/>
      <c r="F302" s="26"/>
      <c r="G302" s="26" t="s">
        <v>306</v>
      </c>
      <c r="H302" s="28"/>
      <c r="I302" s="28"/>
      <c r="J302" s="28"/>
      <c r="K302" s="28"/>
      <c r="L302" s="28"/>
      <c r="M302" s="28">
        <v>-3860</v>
      </c>
      <c r="N302" s="28"/>
      <c r="O302" s="28">
        <v>-3330</v>
      </c>
      <c r="P302" s="28"/>
      <c r="Q302" s="28">
        <v>4972.71</v>
      </c>
      <c r="R302" s="28"/>
      <c r="S302" s="9"/>
      <c r="T302" s="9"/>
      <c r="U302" s="9"/>
      <c r="V302" s="9"/>
      <c r="W302" s="9"/>
      <c r="X302" s="9"/>
      <c r="Y302" s="9">
        <v>0</v>
      </c>
      <c r="AA302" s="9"/>
      <c r="AC302" s="9">
        <f>AVERAGE(K302:S302)</f>
        <v>-739.09666666666669</v>
      </c>
      <c r="AD302" s="9">
        <f>MAX(K302:S302)</f>
        <v>4972.71</v>
      </c>
      <c r="AE302" s="9">
        <f>MIN(K302:S302)</f>
        <v>-3860</v>
      </c>
      <c r="AG302" s="9">
        <f>+W302-AC302</f>
        <v>739.09666666666669</v>
      </c>
      <c r="AH302" s="9">
        <f>+W302-AD302</f>
        <v>-4972.71</v>
      </c>
      <c r="AI302" s="9">
        <f>+W302-AE302</f>
        <v>3860</v>
      </c>
      <c r="AK302" s="28"/>
      <c r="AL302" s="28"/>
      <c r="AM302" s="28"/>
    </row>
    <row r="303" spans="1:39" s="1" customFormat="1" x14ac:dyDescent="0.2">
      <c r="A303" s="26"/>
      <c r="B303" s="26"/>
      <c r="C303" s="26"/>
      <c r="D303" s="26"/>
      <c r="E303" s="26"/>
      <c r="F303" s="26"/>
      <c r="G303" s="26" t="s">
        <v>307</v>
      </c>
      <c r="H303" s="28"/>
      <c r="I303" s="28">
        <v>4954</v>
      </c>
      <c r="J303" s="28"/>
      <c r="K303" s="28">
        <v>4732</v>
      </c>
      <c r="L303" s="28"/>
      <c r="M303" s="28">
        <v>6011</v>
      </c>
      <c r="N303" s="28"/>
      <c r="O303" s="28">
        <v>5450.37</v>
      </c>
      <c r="P303" s="28"/>
      <c r="Q303" s="28">
        <v>76.45</v>
      </c>
      <c r="R303" s="28"/>
      <c r="S303" s="9">
        <v>5623</v>
      </c>
      <c r="T303" s="9"/>
      <c r="U303" s="9"/>
      <c r="V303" s="9"/>
      <c r="W303" s="8">
        <v>3589.36</v>
      </c>
      <c r="X303" s="9"/>
      <c r="Y303" s="9">
        <v>5229</v>
      </c>
      <c r="AA303" s="11">
        <f>+AA301*0.0765</f>
        <v>6811.3305</v>
      </c>
      <c r="AC303" s="9">
        <f>AVERAGE(K303:S303)</f>
        <v>4378.5640000000003</v>
      </c>
      <c r="AD303" s="9">
        <f>MAX(K303:S303)</f>
        <v>6011</v>
      </c>
      <c r="AE303" s="9">
        <f>MIN(K303:S303)</f>
        <v>76.45</v>
      </c>
      <c r="AG303" s="9">
        <f>+W303-AC303</f>
        <v>-789.20400000000018</v>
      </c>
      <c r="AH303" s="9">
        <f>+W303-AD303</f>
        <v>-2421.64</v>
      </c>
      <c r="AI303" s="9">
        <f>+W303-AE303</f>
        <v>3512.9100000000003</v>
      </c>
      <c r="AK303" s="28">
        <f>+Y303-AC303</f>
        <v>850.43599999999969</v>
      </c>
      <c r="AL303" s="28">
        <f>+Y303-AD303</f>
        <v>-782</v>
      </c>
      <c r="AM303" s="28">
        <f>+Y303-AE303</f>
        <v>5152.55</v>
      </c>
    </row>
    <row r="304" spans="1:39" s="16" customFormat="1" x14ac:dyDescent="0.2">
      <c r="A304" s="26"/>
      <c r="B304" s="26"/>
      <c r="C304" s="26"/>
      <c r="D304" s="26"/>
      <c r="E304" s="26"/>
      <c r="F304" s="26"/>
      <c r="G304" s="26" t="s">
        <v>308</v>
      </c>
      <c r="H304" s="31"/>
      <c r="I304" s="31"/>
      <c r="J304" s="31"/>
      <c r="K304" s="31"/>
      <c r="L304" s="31"/>
      <c r="M304" s="31"/>
      <c r="N304" s="31"/>
      <c r="O304" s="31"/>
      <c r="P304" s="31"/>
      <c r="Q304" s="31">
        <v>0</v>
      </c>
      <c r="R304" s="31"/>
      <c r="S304" s="9">
        <v>14</v>
      </c>
      <c r="T304" s="11"/>
      <c r="U304" s="11"/>
      <c r="V304" s="11"/>
      <c r="W304" s="8">
        <v>17.55</v>
      </c>
      <c r="X304" s="11"/>
      <c r="Y304" s="11">
        <v>30</v>
      </c>
      <c r="AA304" s="11">
        <v>450</v>
      </c>
      <c r="AC304" s="31">
        <f>AVERAGE(K304:S304)</f>
        <v>7</v>
      </c>
      <c r="AD304" s="31">
        <f>MAX(K304:S304)</f>
        <v>14</v>
      </c>
      <c r="AE304" s="31">
        <f>MIN(K304:S304)</f>
        <v>0</v>
      </c>
      <c r="AF304" s="1"/>
      <c r="AG304" s="31">
        <f>+W304-AC304</f>
        <v>10.55</v>
      </c>
      <c r="AH304" s="31">
        <f>+W304-AD304</f>
        <v>3.5500000000000007</v>
      </c>
      <c r="AI304" s="31">
        <f>+W304-AE304</f>
        <v>17.55</v>
      </c>
      <c r="AJ304" s="1"/>
      <c r="AK304" s="31">
        <f>+Y304-AC304</f>
        <v>23</v>
      </c>
      <c r="AL304" s="31">
        <f>+Y304-AD304</f>
        <v>16</v>
      </c>
      <c r="AM304" s="31">
        <f>+Y304-AE304</f>
        <v>30</v>
      </c>
    </row>
    <row r="305" spans="1:39" s="1" customFormat="1" ht="12" thickBot="1" x14ac:dyDescent="0.25">
      <c r="A305" s="26"/>
      <c r="B305" s="26"/>
      <c r="C305" s="26"/>
      <c r="D305" s="26"/>
      <c r="E305" s="26"/>
      <c r="F305" s="26"/>
      <c r="G305" s="26" t="s">
        <v>309</v>
      </c>
      <c r="H305" s="28"/>
      <c r="I305" s="33"/>
      <c r="J305" s="28"/>
      <c r="K305" s="33"/>
      <c r="L305" s="28"/>
      <c r="M305" s="33"/>
      <c r="N305" s="28"/>
      <c r="O305" s="33"/>
      <c r="P305" s="33"/>
      <c r="Q305" s="33"/>
      <c r="R305" s="33"/>
      <c r="S305" s="14">
        <v>154.05000000000001</v>
      </c>
      <c r="T305" s="11"/>
      <c r="U305" s="11"/>
      <c r="V305" s="9"/>
      <c r="W305" s="13">
        <v>90.35</v>
      </c>
      <c r="X305" s="9"/>
      <c r="Y305" s="14">
        <v>199</v>
      </c>
      <c r="AA305" s="14">
        <f>+AA301*0.29/100</f>
        <v>258.20729999999998</v>
      </c>
      <c r="AC305" s="33">
        <f>AVERAGE(K305:S305)</f>
        <v>154.05000000000001</v>
      </c>
      <c r="AD305" s="33">
        <f>MAX(K305:S305)</f>
        <v>154.05000000000001</v>
      </c>
      <c r="AE305" s="33">
        <f>MIN(K305:S305)</f>
        <v>154.05000000000001</v>
      </c>
      <c r="AG305" s="33">
        <f>+W305-AC305</f>
        <v>-63.700000000000017</v>
      </c>
      <c r="AH305" s="33">
        <f>+W305-AD305</f>
        <v>-63.700000000000017</v>
      </c>
      <c r="AI305" s="33">
        <f>+W305-AE305</f>
        <v>-63.700000000000017</v>
      </c>
      <c r="AK305" s="33">
        <f>+Y305-AC305</f>
        <v>44.949999999999989</v>
      </c>
      <c r="AL305" s="33">
        <f>+Y305-AD305</f>
        <v>44.949999999999989</v>
      </c>
      <c r="AM305" s="33">
        <f>+Y305-AE305</f>
        <v>44.949999999999989</v>
      </c>
    </row>
    <row r="306" spans="1:39" s="1" customFormat="1" x14ac:dyDescent="0.2">
      <c r="A306" s="26"/>
      <c r="B306" s="26"/>
      <c r="C306" s="26"/>
      <c r="D306" s="26"/>
      <c r="E306" s="26"/>
      <c r="F306" s="26" t="s">
        <v>310</v>
      </c>
      <c r="G306" s="26"/>
      <c r="H306" s="28"/>
      <c r="I306" s="28">
        <f>ROUND(SUM(I300:I305),5)</f>
        <v>52560</v>
      </c>
      <c r="J306" s="28"/>
      <c r="K306" s="28">
        <f>ROUND(SUM(K300:K305),5)</f>
        <v>52066</v>
      </c>
      <c r="L306" s="28"/>
      <c r="M306" s="28">
        <f>ROUND(SUM(M300:M305),5)</f>
        <v>58519</v>
      </c>
      <c r="N306" s="28"/>
      <c r="O306" s="28">
        <f>ROUND(SUM(O300:O305),5)</f>
        <v>61024.17</v>
      </c>
      <c r="P306" s="28"/>
      <c r="Q306" s="28">
        <f>ROUND(SUM(Q300:Q305),5)</f>
        <v>60197.3</v>
      </c>
      <c r="R306" s="28"/>
      <c r="S306" s="9">
        <f>ROUND(SUM(S300:S305),5)</f>
        <v>68327.3</v>
      </c>
      <c r="T306" s="9"/>
      <c r="U306" s="9"/>
      <c r="V306" s="9"/>
      <c r="W306" s="9">
        <f>ROUND(SUM(W300:W305),5)</f>
        <v>40719.730000000003</v>
      </c>
      <c r="X306" s="9"/>
      <c r="Y306" s="9">
        <f>ROUND(SUM(Y300:Y305),5)</f>
        <v>73808</v>
      </c>
      <c r="AA306" s="9">
        <f>ROUND(SUM(AA300:AA305),5)</f>
        <v>96556.537800000006</v>
      </c>
      <c r="AC306" s="28">
        <f>ROUND(SUM(AC300:AC305),5)</f>
        <v>59858.555330000003</v>
      </c>
      <c r="AD306" s="28">
        <f>ROUND(SUM(AD300:AD305),5)</f>
        <v>73688.009999999995</v>
      </c>
      <c r="AE306" s="28">
        <f>ROUND(SUM(AE300:AE305),5)</f>
        <v>43704.5</v>
      </c>
      <c r="AG306" s="28">
        <f t="shared" ref="AG306:AI306" si="153">ROUND(SUM(AG300:AG305),5)</f>
        <v>-19138.82533</v>
      </c>
      <c r="AH306" s="28">
        <f t="shared" si="153"/>
        <v>-32968.28</v>
      </c>
      <c r="AI306" s="28">
        <f t="shared" si="153"/>
        <v>-2984.77</v>
      </c>
      <c r="AK306" s="28">
        <f t="shared" ref="AK306:AM306" si="154">ROUND(SUM(AK300:AK305),5)</f>
        <v>13210.348</v>
      </c>
      <c r="AL306" s="28">
        <f t="shared" si="154"/>
        <v>5092.7</v>
      </c>
      <c r="AM306" s="28">
        <f t="shared" si="154"/>
        <v>26243.5</v>
      </c>
    </row>
    <row r="307" spans="1:39" s="1" customFormat="1" x14ac:dyDescent="0.2">
      <c r="A307" s="26"/>
      <c r="B307" s="26"/>
      <c r="C307" s="26"/>
      <c r="D307" s="26"/>
      <c r="E307" s="26"/>
      <c r="F307" s="26" t="s">
        <v>311</v>
      </c>
      <c r="G307" s="26"/>
      <c r="H307" s="28"/>
      <c r="I307" s="28"/>
      <c r="J307" s="28"/>
      <c r="K307" s="28"/>
      <c r="L307" s="28"/>
      <c r="M307" s="28"/>
      <c r="N307" s="28"/>
      <c r="O307" s="28"/>
      <c r="P307" s="28"/>
      <c r="Q307" s="28"/>
      <c r="R307" s="28"/>
      <c r="S307" s="9"/>
      <c r="T307" s="9"/>
      <c r="U307" s="9"/>
      <c r="V307" s="9"/>
      <c r="W307" s="9"/>
      <c r="X307" s="9"/>
      <c r="Y307" s="9"/>
      <c r="AA307" s="9"/>
      <c r="AC307" s="28"/>
      <c r="AD307" s="28"/>
      <c r="AE307" s="28"/>
      <c r="AG307" s="28"/>
      <c r="AH307" s="28"/>
      <c r="AI307" s="28"/>
      <c r="AK307" s="28"/>
      <c r="AL307" s="28"/>
      <c r="AM307" s="28"/>
    </row>
    <row r="308" spans="1:39" s="1" customFormat="1" x14ac:dyDescent="0.2">
      <c r="A308" s="26"/>
      <c r="B308" s="26"/>
      <c r="C308" s="26"/>
      <c r="D308" s="26"/>
      <c r="E308" s="26"/>
      <c r="F308" s="26"/>
      <c r="G308" s="26" t="s">
        <v>312</v>
      </c>
      <c r="H308" s="28"/>
      <c r="I308" s="28"/>
      <c r="J308" s="28"/>
      <c r="K308" s="28"/>
      <c r="L308" s="28"/>
      <c r="M308" s="28"/>
      <c r="N308" s="28"/>
      <c r="O308" s="28"/>
      <c r="P308" s="28"/>
      <c r="Q308" s="28">
        <v>1331.76</v>
      </c>
      <c r="R308" s="28"/>
      <c r="S308" s="9">
        <v>1020.74</v>
      </c>
      <c r="T308" s="9"/>
      <c r="U308" s="9"/>
      <c r="V308" s="9"/>
      <c r="W308" s="9">
        <v>302.55</v>
      </c>
      <c r="X308" s="9"/>
      <c r="Y308" s="9">
        <v>1200</v>
      </c>
      <c r="AA308" s="9"/>
      <c r="AC308" s="28"/>
      <c r="AD308" s="28">
        <f>MAX(H308:O308)</f>
        <v>0</v>
      </c>
      <c r="AE308" s="28">
        <f>MIN(H308:O308)</f>
        <v>0</v>
      </c>
      <c r="AG308" s="28">
        <f>+W308-AC308</f>
        <v>302.55</v>
      </c>
      <c r="AH308" s="28">
        <f>+W308-AD308</f>
        <v>302.55</v>
      </c>
      <c r="AI308" s="28">
        <f>+W308-AE308</f>
        <v>302.55</v>
      </c>
      <c r="AK308" s="28">
        <f>+Y308-AC308</f>
        <v>1200</v>
      </c>
      <c r="AL308" s="28">
        <f>+Y308-AD308</f>
        <v>1200</v>
      </c>
      <c r="AM308" s="28">
        <f>+Y308-AE308</f>
        <v>1200</v>
      </c>
    </row>
    <row r="309" spans="1:39" s="1" customFormat="1" x14ac:dyDescent="0.2">
      <c r="A309" s="26"/>
      <c r="B309" s="26"/>
      <c r="C309" s="26"/>
      <c r="D309" s="26"/>
      <c r="E309" s="26"/>
      <c r="F309" s="26"/>
      <c r="G309" s="26" t="s">
        <v>313</v>
      </c>
      <c r="H309" s="28"/>
      <c r="I309" s="28">
        <v>10</v>
      </c>
      <c r="J309" s="28"/>
      <c r="K309" s="28"/>
      <c r="L309" s="28"/>
      <c r="M309" s="28"/>
      <c r="N309" s="28"/>
      <c r="O309" s="28">
        <v>522</v>
      </c>
      <c r="P309" s="28"/>
      <c r="Q309" s="28">
        <v>0</v>
      </c>
      <c r="R309" s="28"/>
      <c r="S309" s="9"/>
      <c r="T309" s="9"/>
      <c r="U309" s="9"/>
      <c r="V309" s="9"/>
      <c r="W309" s="9">
        <v>0</v>
      </c>
      <c r="X309" s="9"/>
      <c r="Y309" s="9">
        <v>0</v>
      </c>
      <c r="AA309" s="9">
        <v>0</v>
      </c>
      <c r="AC309" s="28">
        <f>AVERAGE(K309:S309)</f>
        <v>261</v>
      </c>
      <c r="AD309" s="28">
        <f>MAX(K309:S309)</f>
        <v>522</v>
      </c>
      <c r="AE309" s="28">
        <f>MIN(K309:S309)</f>
        <v>0</v>
      </c>
      <c r="AG309" s="28">
        <f>+W309-AC309</f>
        <v>-261</v>
      </c>
      <c r="AH309" s="28">
        <f>+W309-AD309</f>
        <v>-522</v>
      </c>
      <c r="AI309" s="28">
        <f>+W309-AE309</f>
        <v>0</v>
      </c>
      <c r="AK309" s="28">
        <f>+Y309-AC309</f>
        <v>-261</v>
      </c>
      <c r="AL309" s="28">
        <f>+Y309-AD309</f>
        <v>-522</v>
      </c>
      <c r="AM309" s="28">
        <f>+Y309-AE309</f>
        <v>0</v>
      </c>
    </row>
    <row r="310" spans="1:39" s="1" customFormat="1" x14ac:dyDescent="0.2">
      <c r="A310" s="26"/>
      <c r="B310" s="26"/>
      <c r="C310" s="26"/>
      <c r="D310" s="26"/>
      <c r="E310" s="26"/>
      <c r="F310" s="26"/>
      <c r="G310" s="26" t="s">
        <v>314</v>
      </c>
      <c r="H310" s="28"/>
      <c r="I310" s="28">
        <v>1315</v>
      </c>
      <c r="J310" s="28"/>
      <c r="K310" s="28">
        <v>1138</v>
      </c>
      <c r="L310" s="28"/>
      <c r="M310" s="28">
        <v>1070</v>
      </c>
      <c r="N310" s="28"/>
      <c r="O310" s="28">
        <v>793.64</v>
      </c>
      <c r="P310" s="28"/>
      <c r="Q310" s="28">
        <v>804.42</v>
      </c>
      <c r="R310" s="28"/>
      <c r="S310" s="9"/>
      <c r="T310" s="9"/>
      <c r="U310" s="9"/>
      <c r="V310" s="9"/>
      <c r="W310" s="9">
        <v>0</v>
      </c>
      <c r="X310" s="9"/>
      <c r="Y310" s="9">
        <v>0</v>
      </c>
      <c r="AA310" s="9">
        <v>0</v>
      </c>
      <c r="AC310" s="28">
        <f>AVERAGE(K310:S310)</f>
        <v>951.51499999999999</v>
      </c>
      <c r="AD310" s="28">
        <f>MAX(K310:S310)</f>
        <v>1138</v>
      </c>
      <c r="AE310" s="28">
        <f>MIN(K310:S310)</f>
        <v>793.64</v>
      </c>
      <c r="AG310" s="28">
        <f>+W310-AC310</f>
        <v>-951.51499999999999</v>
      </c>
      <c r="AH310" s="28">
        <f>+W310-AD310</f>
        <v>-1138</v>
      </c>
      <c r="AI310" s="28">
        <f>+W310-AE310</f>
        <v>-793.64</v>
      </c>
      <c r="AK310" s="28">
        <f>+Y310-AC310</f>
        <v>-951.51499999999999</v>
      </c>
      <c r="AL310" s="28">
        <f>+Y310-AD310</f>
        <v>-1138</v>
      </c>
      <c r="AM310" s="28">
        <f>+Y310-AE310</f>
        <v>-793.64</v>
      </c>
    </row>
    <row r="311" spans="1:39" s="1" customFormat="1" x14ac:dyDescent="0.2">
      <c r="A311" s="26"/>
      <c r="B311" s="26"/>
      <c r="C311" s="26"/>
      <c r="D311" s="26"/>
      <c r="E311" s="26"/>
      <c r="F311" s="26"/>
      <c r="G311" s="26" t="s">
        <v>315</v>
      </c>
      <c r="H311" s="28"/>
      <c r="I311" s="28"/>
      <c r="J311" s="28"/>
      <c r="K311" s="28"/>
      <c r="L311" s="28"/>
      <c r="M311" s="28"/>
      <c r="N311" s="28"/>
      <c r="O311" s="28"/>
      <c r="P311" s="28"/>
      <c r="Q311" s="28"/>
      <c r="R311" s="28"/>
      <c r="S311" s="9">
        <v>127.06</v>
      </c>
      <c r="T311" s="9"/>
      <c r="U311" s="9"/>
      <c r="V311" s="9"/>
      <c r="W311" s="9">
        <v>0</v>
      </c>
      <c r="X311" s="9"/>
      <c r="Y311" s="9"/>
      <c r="AA311" s="9">
        <v>0</v>
      </c>
      <c r="AC311" s="28">
        <f>AVERAGE(K311:S311)</f>
        <v>127.06</v>
      </c>
      <c r="AD311" s="28"/>
      <c r="AE311" s="28"/>
      <c r="AG311" s="28"/>
      <c r="AH311" s="28"/>
      <c r="AI311" s="28"/>
      <c r="AK311" s="28"/>
      <c r="AL311" s="28"/>
      <c r="AM311" s="28"/>
    </row>
    <row r="312" spans="1:39" s="1" customFormat="1" x14ac:dyDescent="0.2">
      <c r="A312" s="26"/>
      <c r="B312" s="26"/>
      <c r="C312" s="26"/>
      <c r="D312" s="26"/>
      <c r="E312" s="26"/>
      <c r="F312" s="26"/>
      <c r="G312" s="26" t="s">
        <v>316</v>
      </c>
      <c r="H312" s="28"/>
      <c r="I312" s="28">
        <v>2237</v>
      </c>
      <c r="J312" s="28"/>
      <c r="K312" s="28">
        <v>1228</v>
      </c>
      <c r="L312" s="28"/>
      <c r="M312" s="28">
        <v>2513</v>
      </c>
      <c r="N312" s="28"/>
      <c r="O312" s="28">
        <v>884.74</v>
      </c>
      <c r="P312" s="28"/>
      <c r="Q312" s="28">
        <v>2130.25</v>
      </c>
      <c r="R312" s="28"/>
      <c r="S312" s="9">
        <v>512.45000000000005</v>
      </c>
      <c r="T312" s="9"/>
      <c r="U312" s="9"/>
      <c r="V312" s="9"/>
      <c r="W312" s="9">
        <v>473.83</v>
      </c>
      <c r="X312" s="9"/>
      <c r="Y312" s="9">
        <v>1800</v>
      </c>
      <c r="AA312" s="9">
        <v>1200</v>
      </c>
      <c r="AC312" s="28">
        <f>AVERAGE(K312:S312)</f>
        <v>1453.6879999999999</v>
      </c>
      <c r="AD312" s="28">
        <f>MAX(K312:S312)</f>
        <v>2513</v>
      </c>
      <c r="AE312" s="28">
        <f>MIN(K312:S312)</f>
        <v>512.45000000000005</v>
      </c>
      <c r="AG312" s="28">
        <f>+W312-AC312</f>
        <v>-979.85799999999995</v>
      </c>
      <c r="AH312" s="28">
        <f>+W312-AD312</f>
        <v>-2039.17</v>
      </c>
      <c r="AI312" s="28">
        <f>+W312-AE312</f>
        <v>-38.620000000000061</v>
      </c>
      <c r="AK312" s="28">
        <f>+Y312-AC312</f>
        <v>346.31200000000013</v>
      </c>
      <c r="AL312" s="28">
        <f>+Y312-AD312</f>
        <v>-713</v>
      </c>
      <c r="AM312" s="28">
        <f>+Y312-AE312</f>
        <v>1287.55</v>
      </c>
    </row>
    <row r="313" spans="1:39" s="1" customFormat="1" ht="12" thickBot="1" x14ac:dyDescent="0.25">
      <c r="A313" s="26"/>
      <c r="B313" s="26"/>
      <c r="C313" s="26"/>
      <c r="D313" s="26"/>
      <c r="E313" s="26"/>
      <c r="F313" s="26"/>
      <c r="G313" s="26" t="s">
        <v>317</v>
      </c>
      <c r="H313" s="28"/>
      <c r="I313" s="31">
        <v>1368</v>
      </c>
      <c r="J313" s="28"/>
      <c r="K313" s="31">
        <v>811</v>
      </c>
      <c r="L313" s="28"/>
      <c r="M313" s="31">
        <v>1626</v>
      </c>
      <c r="N313" s="28"/>
      <c r="O313" s="31">
        <v>3224.19</v>
      </c>
      <c r="P313" s="31"/>
      <c r="Q313" s="28">
        <v>424</v>
      </c>
      <c r="R313" s="28"/>
      <c r="S313" s="9">
        <v>212.76</v>
      </c>
      <c r="T313" s="11"/>
      <c r="U313" s="11"/>
      <c r="V313" s="9"/>
      <c r="W313" s="10">
        <v>444.31</v>
      </c>
      <c r="X313" s="9"/>
      <c r="Y313" s="11">
        <v>1500</v>
      </c>
      <c r="AA313" s="11">
        <v>1500</v>
      </c>
      <c r="AC313" s="31">
        <f>AVERAGE(K313:S313)</f>
        <v>1259.5900000000001</v>
      </c>
      <c r="AD313" s="31">
        <f>MAX(K313:S313)</f>
        <v>3224.19</v>
      </c>
      <c r="AE313" s="31">
        <f>MIN(K313:S313)</f>
        <v>212.76</v>
      </c>
      <c r="AG313" s="31">
        <f>+W313-AC313</f>
        <v>-815.2800000000002</v>
      </c>
      <c r="AH313" s="31">
        <f>+W313-AD313</f>
        <v>-2779.88</v>
      </c>
      <c r="AI313" s="31">
        <f>+W313-AE313</f>
        <v>231.55</v>
      </c>
      <c r="AK313" s="31">
        <f>+Y313-AC313</f>
        <v>240.40999999999985</v>
      </c>
      <c r="AL313" s="31">
        <f>+Y313-AD313</f>
        <v>-1724.19</v>
      </c>
      <c r="AM313" s="31">
        <f>+Y313-AE313</f>
        <v>1287.24</v>
      </c>
    </row>
    <row r="314" spans="1:39" s="1" customFormat="1" ht="12" thickBot="1" x14ac:dyDescent="0.25">
      <c r="A314" s="26"/>
      <c r="B314" s="26"/>
      <c r="C314" s="26"/>
      <c r="D314" s="26"/>
      <c r="E314" s="26"/>
      <c r="F314" s="26" t="s">
        <v>318</v>
      </c>
      <c r="G314" s="26"/>
      <c r="H314" s="28"/>
      <c r="I314" s="32">
        <f>ROUND(SUM(I307:I313),5)</f>
        <v>4930</v>
      </c>
      <c r="J314" s="28"/>
      <c r="K314" s="32">
        <f>ROUND(SUM(K307:K313),5)</f>
        <v>3177</v>
      </c>
      <c r="L314" s="28"/>
      <c r="M314" s="32">
        <f>ROUND(SUM(M307:M313),5)</f>
        <v>5209</v>
      </c>
      <c r="N314" s="28"/>
      <c r="O314" s="32">
        <f>ROUND(SUM(O307:O313),5)</f>
        <v>5424.57</v>
      </c>
      <c r="P314" s="32"/>
      <c r="Q314" s="32">
        <f>ROUND(SUM(Q307:Q313),5)</f>
        <v>4690.43</v>
      </c>
      <c r="R314" s="32"/>
      <c r="S314" s="12">
        <f>ROUND(SUM(S307:S313),5)</f>
        <v>1873.01</v>
      </c>
      <c r="T314" s="11"/>
      <c r="U314" s="11"/>
      <c r="V314" s="9"/>
      <c r="W314" s="12">
        <f>ROUND(SUM(W307:W313),5)</f>
        <v>1220.69</v>
      </c>
      <c r="X314" s="9"/>
      <c r="Y314" s="12">
        <f>ROUND(SUM(Y307:Y313),5)</f>
        <v>4500</v>
      </c>
      <c r="AA314" s="12">
        <f>ROUND(SUM(AA307:AA313),5)</f>
        <v>2700</v>
      </c>
      <c r="AC314" s="32">
        <f t="shared" ref="AC314:AE314" si="155">ROUND(SUM(AC307:AC313),5)</f>
        <v>4052.8530000000001</v>
      </c>
      <c r="AD314" s="32">
        <f t="shared" si="155"/>
        <v>7397.19</v>
      </c>
      <c r="AE314" s="32">
        <f t="shared" si="155"/>
        <v>1518.85</v>
      </c>
      <c r="AG314" s="32">
        <f t="shared" ref="AG314:AI314" si="156">ROUND(SUM(AG307:AG313),5)</f>
        <v>-2705.1030000000001</v>
      </c>
      <c r="AH314" s="32">
        <f t="shared" si="156"/>
        <v>-6176.5</v>
      </c>
      <c r="AI314" s="32">
        <f t="shared" si="156"/>
        <v>-298.16000000000003</v>
      </c>
      <c r="AK314" s="32">
        <f t="shared" ref="AK314:AM314" si="157">ROUND(SUM(AK307:AK313),5)</f>
        <v>574.20699999999999</v>
      </c>
      <c r="AL314" s="32">
        <f t="shared" si="157"/>
        <v>-2897.19</v>
      </c>
      <c r="AM314" s="32">
        <f t="shared" si="157"/>
        <v>2981.15</v>
      </c>
    </row>
    <row r="315" spans="1:39" s="1" customFormat="1" x14ac:dyDescent="0.2">
      <c r="A315" s="26"/>
      <c r="B315" s="26"/>
      <c r="C315" s="26"/>
      <c r="D315" s="26"/>
      <c r="E315" s="35" t="s">
        <v>319</v>
      </c>
      <c r="F315" s="26"/>
      <c r="G315" s="26"/>
      <c r="H315" s="28"/>
      <c r="I315" s="28">
        <f>ROUND(I299+I306+I314,5)</f>
        <v>57490</v>
      </c>
      <c r="J315" s="28"/>
      <c r="K315" s="28">
        <f>ROUND(K299+K306+K314,5)</f>
        <v>55243</v>
      </c>
      <c r="L315" s="28"/>
      <c r="M315" s="28">
        <f>ROUND(M299+M306+M314,5)</f>
        <v>63728</v>
      </c>
      <c r="N315" s="28"/>
      <c r="O315" s="28">
        <f>ROUND(O299+O306+O314,5)</f>
        <v>66448.740000000005</v>
      </c>
      <c r="P315" s="28"/>
      <c r="Q315" s="28">
        <f>ROUND(Q299+Q306+Q314,5)</f>
        <v>64887.73</v>
      </c>
      <c r="R315" s="28"/>
      <c r="S315" s="9">
        <f>ROUND(S299+S306+S314,5)</f>
        <v>70200.31</v>
      </c>
      <c r="T315" s="9"/>
      <c r="U315" s="9"/>
      <c r="V315" s="9"/>
      <c r="W315" s="9">
        <f>ROUND(W299+W306+W314,5)</f>
        <v>41940.42</v>
      </c>
      <c r="X315" s="9"/>
      <c r="Y315" s="9">
        <f>ROUND(Y299+Y306+Y314,5)</f>
        <v>78308</v>
      </c>
      <c r="AA315" s="9">
        <f>ROUND(AA299+AA306+AA314,5)</f>
        <v>99256.537800000006</v>
      </c>
      <c r="AC315" s="28">
        <f t="shared" ref="AC315:AE315" si="158">ROUND(AC299+AC306+AC314,5)</f>
        <v>63911.408329999998</v>
      </c>
      <c r="AD315" s="28">
        <f t="shared" si="158"/>
        <v>81085.2</v>
      </c>
      <c r="AE315" s="28">
        <f t="shared" si="158"/>
        <v>45223.35</v>
      </c>
      <c r="AG315" s="28">
        <f t="shared" ref="AG315:AI315" si="159">ROUND(AG299+AG306+AG314,5)</f>
        <v>-21843.928329999999</v>
      </c>
      <c r="AH315" s="28">
        <f t="shared" si="159"/>
        <v>-39144.78</v>
      </c>
      <c r="AI315" s="28">
        <f t="shared" si="159"/>
        <v>-3282.93</v>
      </c>
      <c r="AK315" s="28">
        <f t="shared" ref="AK315:AM315" si="160">ROUND(AK299+AK306+AK314,5)</f>
        <v>13784.555</v>
      </c>
      <c r="AL315" s="28">
        <f t="shared" si="160"/>
        <v>2195.5100000000002</v>
      </c>
      <c r="AM315" s="28">
        <f t="shared" si="160"/>
        <v>29224.65</v>
      </c>
    </row>
    <row r="316" spans="1:39" s="1" customFormat="1" x14ac:dyDescent="0.2">
      <c r="A316" s="26"/>
      <c r="B316" s="26"/>
      <c r="C316" s="26"/>
      <c r="D316" s="26"/>
      <c r="E316" s="26"/>
      <c r="F316" s="26"/>
      <c r="G316" s="26"/>
      <c r="H316" s="28"/>
      <c r="I316" s="28"/>
      <c r="J316" s="28"/>
      <c r="K316" s="28"/>
      <c r="L316" s="28"/>
      <c r="M316" s="28"/>
      <c r="N316" s="28"/>
      <c r="O316" s="28"/>
      <c r="P316" s="28"/>
      <c r="Q316" s="28"/>
      <c r="R316" s="28"/>
      <c r="S316" s="9"/>
      <c r="T316" s="9"/>
      <c r="U316" s="9"/>
      <c r="V316" s="9"/>
      <c r="W316" s="9"/>
      <c r="X316" s="9"/>
      <c r="Y316" s="9"/>
      <c r="AA316" s="9"/>
      <c r="AC316" s="28"/>
      <c r="AD316" s="28"/>
      <c r="AE316" s="28"/>
      <c r="AG316" s="28"/>
      <c r="AH316" s="28"/>
      <c r="AI316" s="28"/>
      <c r="AK316" s="28"/>
      <c r="AL316" s="28"/>
      <c r="AM316" s="28"/>
    </row>
    <row r="317" spans="1:39" s="1" customFormat="1" x14ac:dyDescent="0.2">
      <c r="A317" s="26"/>
      <c r="B317" s="26"/>
      <c r="C317" s="26"/>
      <c r="D317" s="26"/>
      <c r="E317" s="35" t="s">
        <v>320</v>
      </c>
      <c r="F317" s="26"/>
      <c r="G317" s="35"/>
      <c r="H317" s="28"/>
      <c r="I317" s="28"/>
      <c r="J317" s="28"/>
      <c r="K317" s="28"/>
      <c r="L317" s="28"/>
      <c r="M317" s="28"/>
      <c r="N317" s="28"/>
      <c r="O317" s="28"/>
      <c r="P317" s="28"/>
      <c r="Q317" s="28"/>
      <c r="R317" s="28"/>
      <c r="S317" s="9"/>
      <c r="T317" s="9"/>
      <c r="U317" s="9"/>
      <c r="V317" s="9"/>
      <c r="W317" s="9"/>
      <c r="X317" s="9"/>
      <c r="Y317" s="9"/>
      <c r="AA317" s="9"/>
      <c r="AC317" s="28"/>
      <c r="AD317" s="28"/>
      <c r="AE317" s="28"/>
      <c r="AG317" s="28"/>
      <c r="AH317" s="28"/>
      <c r="AI317" s="28"/>
      <c r="AK317" s="28"/>
      <c r="AL317" s="28"/>
      <c r="AM317" s="28"/>
    </row>
    <row r="318" spans="1:39" s="1" customFormat="1" x14ac:dyDescent="0.2">
      <c r="A318" s="26"/>
      <c r="B318" s="26"/>
      <c r="C318" s="26"/>
      <c r="D318" s="26"/>
      <c r="E318" s="26"/>
      <c r="F318" s="26" t="s">
        <v>321</v>
      </c>
      <c r="G318" s="26"/>
      <c r="H318" s="28"/>
      <c r="I318" s="28"/>
      <c r="J318" s="28"/>
      <c r="K318" s="28"/>
      <c r="L318" s="28"/>
      <c r="M318" s="28"/>
      <c r="N318" s="28"/>
      <c r="O318" s="28"/>
      <c r="P318" s="28"/>
      <c r="Q318" s="28"/>
      <c r="R318" s="28"/>
      <c r="S318" s="9"/>
      <c r="T318" s="9"/>
      <c r="U318" s="9"/>
      <c r="V318" s="9"/>
      <c r="W318" s="9"/>
      <c r="X318" s="9"/>
      <c r="Y318" s="9"/>
      <c r="AA318" s="9"/>
      <c r="AC318" s="28"/>
      <c r="AD318" s="28"/>
      <c r="AE318" s="28"/>
      <c r="AG318" s="28"/>
      <c r="AH318" s="28"/>
      <c r="AI318" s="28"/>
      <c r="AK318" s="28"/>
      <c r="AL318" s="28"/>
      <c r="AM318" s="28"/>
    </row>
    <row r="319" spans="1:39" s="1" customFormat="1" x14ac:dyDescent="0.2">
      <c r="A319" s="26"/>
      <c r="B319" s="26"/>
      <c r="C319" s="26"/>
      <c r="D319" s="26"/>
      <c r="E319" s="26"/>
      <c r="F319" s="26"/>
      <c r="G319" s="30" t="s">
        <v>322</v>
      </c>
      <c r="H319" s="28"/>
      <c r="I319" s="28">
        <v>275480</v>
      </c>
      <c r="J319" s="28"/>
      <c r="K319" s="28">
        <v>295049</v>
      </c>
      <c r="L319" s="28"/>
      <c r="M319" s="28">
        <v>272772</v>
      </c>
      <c r="N319" s="28"/>
      <c r="O319" s="28">
        <v>295921.73</v>
      </c>
      <c r="P319" s="28"/>
      <c r="Q319" s="28">
        <v>317178.53000000003</v>
      </c>
      <c r="R319" s="28"/>
      <c r="S319" s="9">
        <v>322865.61</v>
      </c>
      <c r="T319" s="9"/>
      <c r="U319" s="9"/>
      <c r="V319" s="9"/>
      <c r="W319" s="8">
        <v>339487.09</v>
      </c>
      <c r="X319" s="9"/>
      <c r="Y319" s="9">
        <v>343256</v>
      </c>
      <c r="AA319" s="9">
        <v>350000</v>
      </c>
      <c r="AC319" s="28">
        <f>AVERAGE(K319:S319)</f>
        <v>300757.37400000001</v>
      </c>
      <c r="AD319" s="28">
        <f>MAX(K319:S319)</f>
        <v>322865.61</v>
      </c>
      <c r="AE319" s="28">
        <f>MIN(K319:S319)</f>
        <v>272772</v>
      </c>
      <c r="AG319" s="28">
        <f>+W319-AC319</f>
        <v>38729.716000000015</v>
      </c>
      <c r="AH319" s="28">
        <f>+W319-AD319</f>
        <v>16621.48000000004</v>
      </c>
      <c r="AI319" s="28">
        <f>+W319-AE319</f>
        <v>66715.090000000026</v>
      </c>
      <c r="AK319" s="28">
        <f>+Y319-AC319</f>
        <v>42498.625999999989</v>
      </c>
      <c r="AL319" s="28">
        <f>+Y319-AD319</f>
        <v>20390.390000000014</v>
      </c>
      <c r="AM319" s="28">
        <f>+Y319-AE319</f>
        <v>70484</v>
      </c>
    </row>
    <row r="320" spans="1:39" s="1" customFormat="1" x14ac:dyDescent="0.2">
      <c r="A320" s="26"/>
      <c r="B320" s="26"/>
      <c r="C320" s="26"/>
      <c r="D320" s="26"/>
      <c r="E320" s="26"/>
      <c r="F320" s="26"/>
      <c r="G320" s="30" t="s">
        <v>323</v>
      </c>
      <c r="H320" s="28"/>
      <c r="I320" s="28">
        <v>28394</v>
      </c>
      <c r="J320" s="28"/>
      <c r="K320" s="28">
        <v>29064</v>
      </c>
      <c r="L320" s="28"/>
      <c r="M320" s="28">
        <v>25994</v>
      </c>
      <c r="N320" s="28"/>
      <c r="O320" s="28">
        <v>27839.02</v>
      </c>
      <c r="P320" s="28"/>
      <c r="Q320" s="28">
        <v>29379.65</v>
      </c>
      <c r="R320" s="28"/>
      <c r="S320" s="9">
        <v>30068.21</v>
      </c>
      <c r="T320" s="9"/>
      <c r="U320" s="9"/>
      <c r="V320" s="9"/>
      <c r="W320" s="8">
        <v>32122.93</v>
      </c>
      <c r="X320" s="9"/>
      <c r="Y320" s="9">
        <v>26259</v>
      </c>
      <c r="AA320" s="9">
        <f>+AA319*0.09</f>
        <v>31500</v>
      </c>
      <c r="AC320" s="28">
        <f>AVERAGE(K320:S320)</f>
        <v>28468.976000000002</v>
      </c>
      <c r="AD320" s="28">
        <f>MAX(K320:S320)</f>
        <v>30068.21</v>
      </c>
      <c r="AE320" s="28">
        <f>MIN(K320:S320)</f>
        <v>25994</v>
      </c>
      <c r="AG320" s="28">
        <f>+W320-AC320</f>
        <v>3653.9539999999979</v>
      </c>
      <c r="AH320" s="28">
        <f>+W320-AD320</f>
        <v>2054.7200000000012</v>
      </c>
      <c r="AI320" s="28">
        <f>+W320-AE320</f>
        <v>6128.93</v>
      </c>
      <c r="AK320" s="28">
        <f>+Y320-AC320</f>
        <v>-2209.9760000000024</v>
      </c>
      <c r="AL320" s="28">
        <f>+Y320-AD320</f>
        <v>-3809.2099999999991</v>
      </c>
      <c r="AM320" s="28">
        <f>+Y320-AE320</f>
        <v>265</v>
      </c>
    </row>
    <row r="321" spans="1:39" s="1" customFormat="1" x14ac:dyDescent="0.2">
      <c r="A321" s="26"/>
      <c r="B321" s="26"/>
      <c r="C321" s="26"/>
      <c r="D321" s="26"/>
      <c r="E321" s="26"/>
      <c r="F321" s="26"/>
      <c r="G321" s="26" t="s">
        <v>324</v>
      </c>
      <c r="H321" s="28"/>
      <c r="I321" s="28">
        <v>494</v>
      </c>
      <c r="J321" s="28"/>
      <c r="K321" s="28">
        <v>502</v>
      </c>
      <c r="L321" s="28"/>
      <c r="M321" s="28">
        <v>105</v>
      </c>
      <c r="N321" s="28"/>
      <c r="O321" s="28">
        <v>418.8</v>
      </c>
      <c r="P321" s="28"/>
      <c r="Q321" s="28">
        <v>383.9</v>
      </c>
      <c r="R321" s="28"/>
      <c r="S321" s="9">
        <v>418.81</v>
      </c>
      <c r="T321" s="9"/>
      <c r="U321" s="9"/>
      <c r="V321" s="9"/>
      <c r="W321" s="8">
        <v>431.5</v>
      </c>
      <c r="X321" s="9"/>
      <c r="Y321" s="9">
        <v>419</v>
      </c>
      <c r="AA321" s="9">
        <v>704</v>
      </c>
      <c r="AC321" s="28">
        <f>AVERAGE(K321:S321)</f>
        <v>365.70199999999994</v>
      </c>
      <c r="AD321" s="28">
        <f>MAX(K321:S321)</f>
        <v>502</v>
      </c>
      <c r="AE321" s="28">
        <f>MIN(K321:S321)</f>
        <v>105</v>
      </c>
      <c r="AG321" s="28">
        <f>+W321-AC321</f>
        <v>65.798000000000059</v>
      </c>
      <c r="AH321" s="28">
        <f>+W321-AD321</f>
        <v>-70.5</v>
      </c>
      <c r="AI321" s="28">
        <f>+W321-AE321</f>
        <v>326.5</v>
      </c>
      <c r="AK321" s="28">
        <f>+Y321-AC321</f>
        <v>53.298000000000059</v>
      </c>
      <c r="AL321" s="28">
        <f>+Y321-AD321</f>
        <v>-83</v>
      </c>
      <c r="AM321" s="28">
        <f>+Y321-AE321</f>
        <v>314</v>
      </c>
    </row>
    <row r="322" spans="1:39" s="16" customFormat="1" x14ac:dyDescent="0.2">
      <c r="A322" s="26"/>
      <c r="B322" s="26"/>
      <c r="C322" s="26"/>
      <c r="D322" s="26"/>
      <c r="E322" s="26"/>
      <c r="F322" s="26"/>
      <c r="G322" s="26" t="s">
        <v>325</v>
      </c>
      <c r="H322" s="31"/>
      <c r="I322" s="31">
        <v>6327</v>
      </c>
      <c r="J322" s="31"/>
      <c r="K322" s="31">
        <v>12453</v>
      </c>
      <c r="L322" s="31"/>
      <c r="M322" s="31">
        <v>3778</v>
      </c>
      <c r="N322" s="31"/>
      <c r="O322" s="31">
        <v>13084.44</v>
      </c>
      <c r="P322" s="31"/>
      <c r="Q322" s="28">
        <v>1994.26</v>
      </c>
      <c r="R322" s="28"/>
      <c r="S322" s="9">
        <v>6956.1</v>
      </c>
      <c r="T322" s="11"/>
      <c r="U322" s="11"/>
      <c r="V322" s="11"/>
      <c r="W322" s="8">
        <v>5783.4</v>
      </c>
      <c r="X322" s="11"/>
      <c r="Y322" s="11">
        <v>6950</v>
      </c>
      <c r="AA322" s="11">
        <v>6500</v>
      </c>
      <c r="AC322" s="31">
        <f>AVERAGE(K322:S322)</f>
        <v>7653.1600000000008</v>
      </c>
      <c r="AD322" s="31">
        <f>MAX(K322:S322)</f>
        <v>13084.44</v>
      </c>
      <c r="AE322" s="31">
        <f>MIN(K322:S322)</f>
        <v>1994.26</v>
      </c>
      <c r="AF322" s="1"/>
      <c r="AG322" s="31">
        <f>+W322-AC322</f>
        <v>-1869.7600000000011</v>
      </c>
      <c r="AH322" s="31">
        <f>+W322-AD322</f>
        <v>-7301.0400000000009</v>
      </c>
      <c r="AI322" s="31">
        <f>+W322-AE322</f>
        <v>3789.1399999999994</v>
      </c>
      <c r="AJ322" s="1"/>
      <c r="AK322" s="31">
        <f>+Y322-AC322</f>
        <v>-703.16000000000076</v>
      </c>
      <c r="AL322" s="31">
        <f>+Y322-AD322</f>
        <v>-6134.4400000000005</v>
      </c>
      <c r="AM322" s="31">
        <f>+Y322-AE322</f>
        <v>4955.74</v>
      </c>
    </row>
    <row r="323" spans="1:39" s="1" customFormat="1" ht="12" thickBot="1" x14ac:dyDescent="0.25">
      <c r="A323" s="26"/>
      <c r="B323" s="26"/>
      <c r="C323" s="26"/>
      <c r="D323" s="26"/>
      <c r="E323" s="26"/>
      <c r="F323" s="26"/>
      <c r="G323" s="30" t="s">
        <v>289</v>
      </c>
      <c r="H323" s="28"/>
      <c r="I323" s="33"/>
      <c r="J323" s="28"/>
      <c r="K323" s="33"/>
      <c r="L323" s="28"/>
      <c r="M323" s="33"/>
      <c r="N323" s="28"/>
      <c r="O323" s="33"/>
      <c r="P323" s="33"/>
      <c r="Q323" s="33">
        <v>0</v>
      </c>
      <c r="R323" s="33"/>
      <c r="S323" s="14">
        <v>20323.919999999998</v>
      </c>
      <c r="T323" s="11"/>
      <c r="U323" s="11"/>
      <c r="V323" s="9"/>
      <c r="W323" s="13">
        <v>10920.95</v>
      </c>
      <c r="X323" s="9"/>
      <c r="Y323" s="14">
        <v>21420</v>
      </c>
      <c r="AA323" s="14">
        <f>+AA319*6.24/100</f>
        <v>21840</v>
      </c>
      <c r="AC323" s="33">
        <f>AVERAGE(K323:S323)</f>
        <v>10161.959999999999</v>
      </c>
      <c r="AD323" s="33">
        <f>MAX(K323:S323)</f>
        <v>20323.919999999998</v>
      </c>
      <c r="AE323" s="33">
        <f>MIN(K323:S323)</f>
        <v>0</v>
      </c>
      <c r="AG323" s="33">
        <f>+W323-AC323</f>
        <v>758.9900000000016</v>
      </c>
      <c r="AH323" s="33">
        <f>+W323-AD323</f>
        <v>-9402.9699999999975</v>
      </c>
      <c r="AI323" s="33">
        <f>+W323-AE323</f>
        <v>10920.95</v>
      </c>
      <c r="AK323" s="33">
        <f>+Y323-AC323</f>
        <v>11258.04</v>
      </c>
      <c r="AL323" s="33">
        <f>+Y323-AD323</f>
        <v>1096.0800000000017</v>
      </c>
      <c r="AM323" s="33">
        <f>+Y323-AE323</f>
        <v>21420</v>
      </c>
    </row>
    <row r="324" spans="1:39" s="1" customFormat="1" x14ac:dyDescent="0.2">
      <c r="A324" s="26"/>
      <c r="B324" s="26"/>
      <c r="C324" s="26"/>
      <c r="D324" s="26"/>
      <c r="E324" s="26"/>
      <c r="F324" s="26" t="s">
        <v>326</v>
      </c>
      <c r="G324" s="26"/>
      <c r="H324" s="28"/>
      <c r="I324" s="28">
        <f>ROUND(SUM(I318:I323),5)</f>
        <v>310695</v>
      </c>
      <c r="J324" s="28"/>
      <c r="K324" s="28">
        <f>ROUND(SUM(K318:K323),5)</f>
        <v>337068</v>
      </c>
      <c r="L324" s="28"/>
      <c r="M324" s="28">
        <f>ROUND(SUM(M318:M323),5)</f>
        <v>302649</v>
      </c>
      <c r="N324" s="28"/>
      <c r="O324" s="28">
        <f>ROUND(SUM(O318:O323),5)</f>
        <v>337263.99</v>
      </c>
      <c r="P324" s="28"/>
      <c r="Q324" s="28">
        <f>ROUND(SUM(Q318:Q323),5)</f>
        <v>348936.34</v>
      </c>
      <c r="R324" s="28"/>
      <c r="S324" s="9">
        <f>ROUND(SUM(S318:S323),5)</f>
        <v>380632.65</v>
      </c>
      <c r="T324" s="9"/>
      <c r="U324" s="9"/>
      <c r="V324" s="9"/>
      <c r="W324" s="9">
        <f>ROUND(SUM(W318:W323),5)</f>
        <v>388745.87</v>
      </c>
      <c r="X324" s="9"/>
      <c r="Y324" s="9">
        <f>ROUND(SUM(Y318:Y323),5)</f>
        <v>398304</v>
      </c>
      <c r="AA324" s="9">
        <f>ROUND(SUM(AA318:AA323),5)</f>
        <v>410544</v>
      </c>
      <c r="AC324" s="28">
        <f t="shared" ref="AC324:AE324" si="161">ROUND(SUM(AC318:AC323),5)</f>
        <v>347407.17200000002</v>
      </c>
      <c r="AD324" s="28">
        <f t="shared" si="161"/>
        <v>386844.18</v>
      </c>
      <c r="AE324" s="28">
        <f t="shared" si="161"/>
        <v>300865.26</v>
      </c>
      <c r="AG324" s="28">
        <f t="shared" ref="AG324:AI324" si="162">ROUND(SUM(AG318:AG323),5)</f>
        <v>41338.697999999997</v>
      </c>
      <c r="AH324" s="28">
        <f t="shared" si="162"/>
        <v>1901.69</v>
      </c>
      <c r="AI324" s="28">
        <f t="shared" si="162"/>
        <v>87880.61</v>
      </c>
      <c r="AK324" s="28">
        <f t="shared" ref="AK324:AM324" si="163">ROUND(SUM(AK318:AK323),5)</f>
        <v>50896.828000000001</v>
      </c>
      <c r="AL324" s="28">
        <f t="shared" si="163"/>
        <v>11459.82</v>
      </c>
      <c r="AM324" s="28">
        <f t="shared" si="163"/>
        <v>97438.74</v>
      </c>
    </row>
    <row r="325" spans="1:39" s="1" customFormat="1" x14ac:dyDescent="0.2">
      <c r="A325" s="26"/>
      <c r="B325" s="26"/>
      <c r="C325" s="26"/>
      <c r="D325" s="26"/>
      <c r="E325" s="26"/>
      <c r="F325" s="26" t="s">
        <v>327</v>
      </c>
      <c r="G325" s="26"/>
      <c r="H325" s="28"/>
      <c r="I325" s="28"/>
      <c r="J325" s="28"/>
      <c r="K325" s="28"/>
      <c r="L325" s="28"/>
      <c r="M325" s="28"/>
      <c r="N325" s="28"/>
      <c r="O325" s="28"/>
      <c r="P325" s="28"/>
      <c r="Q325" s="28"/>
      <c r="R325" s="28"/>
      <c r="S325" s="9"/>
      <c r="T325" s="9"/>
      <c r="U325" s="9"/>
      <c r="V325" s="9"/>
      <c r="W325" s="9"/>
      <c r="X325" s="9"/>
      <c r="Y325" s="9"/>
      <c r="AA325" s="9"/>
      <c r="AC325" s="28"/>
      <c r="AD325" s="28"/>
      <c r="AE325" s="28"/>
      <c r="AG325" s="28"/>
      <c r="AH325" s="28"/>
      <c r="AI325" s="28"/>
      <c r="AK325" s="28"/>
      <c r="AL325" s="28"/>
      <c r="AM325" s="28"/>
    </row>
    <row r="326" spans="1:39" s="1" customFormat="1" x14ac:dyDescent="0.2">
      <c r="A326" s="26"/>
      <c r="B326" s="26"/>
      <c r="C326" s="26"/>
      <c r="D326" s="26"/>
      <c r="E326" s="26"/>
      <c r="F326" s="26"/>
      <c r="G326" s="26" t="s">
        <v>328</v>
      </c>
      <c r="H326" s="28"/>
      <c r="I326" s="28">
        <v>4852</v>
      </c>
      <c r="J326" s="28"/>
      <c r="K326" s="28">
        <v>5435</v>
      </c>
      <c r="L326" s="28"/>
      <c r="M326" s="28">
        <v>4616</v>
      </c>
      <c r="N326" s="28"/>
      <c r="O326" s="28">
        <v>1351</v>
      </c>
      <c r="P326" s="28"/>
      <c r="Q326" s="28">
        <v>7479.39</v>
      </c>
      <c r="R326" s="28"/>
      <c r="S326" s="11">
        <v>7193.68</v>
      </c>
      <c r="T326" s="11"/>
      <c r="U326" s="11"/>
      <c r="V326" s="11"/>
      <c r="W326" s="8">
        <v>6963.73</v>
      </c>
      <c r="X326" s="9"/>
      <c r="Y326" s="9">
        <v>7600</v>
      </c>
      <c r="AA326" s="9">
        <v>10177.969999999999</v>
      </c>
      <c r="AC326" s="28">
        <f>AVERAGE(K326:S326)</f>
        <v>5215.0140000000001</v>
      </c>
      <c r="AD326" s="28">
        <f>MAX(K326:S326)</f>
        <v>7479.39</v>
      </c>
      <c r="AE326" s="28">
        <f>MIN(K326:S326)</f>
        <v>1351</v>
      </c>
      <c r="AG326" s="28">
        <f>+W326-AC326</f>
        <v>1748.7159999999994</v>
      </c>
      <c r="AH326" s="28">
        <f>+W326-AD326</f>
        <v>-515.66000000000076</v>
      </c>
      <c r="AI326" s="28">
        <f>+W326-AE326</f>
        <v>5612.73</v>
      </c>
      <c r="AK326" s="28">
        <f>+Y326-AC326</f>
        <v>2384.9859999999999</v>
      </c>
      <c r="AL326" s="28">
        <f>+Y326-AD326</f>
        <v>120.60999999999967</v>
      </c>
      <c r="AM326" s="28">
        <f>+Y326-AE326</f>
        <v>6249</v>
      </c>
    </row>
    <row r="327" spans="1:39" s="1" customFormat="1" x14ac:dyDescent="0.2">
      <c r="A327" s="26"/>
      <c r="B327" s="26"/>
      <c r="C327" s="26"/>
      <c r="D327" s="26"/>
      <c r="E327" s="26"/>
      <c r="F327" s="26"/>
      <c r="G327" s="26" t="s">
        <v>329</v>
      </c>
      <c r="H327" s="28"/>
      <c r="I327" s="28"/>
      <c r="J327" s="28"/>
      <c r="K327" s="28"/>
      <c r="L327" s="28"/>
      <c r="M327" s="28"/>
      <c r="N327" s="28"/>
      <c r="O327" s="28"/>
      <c r="P327" s="28"/>
      <c r="Q327" s="28">
        <v>300</v>
      </c>
      <c r="R327" s="28"/>
      <c r="S327" s="11">
        <v>200</v>
      </c>
      <c r="T327" s="11"/>
      <c r="U327" s="11"/>
      <c r="V327" s="11"/>
      <c r="W327" s="8">
        <v>1000</v>
      </c>
      <c r="X327" s="9"/>
      <c r="Y327" s="9">
        <v>400</v>
      </c>
      <c r="AA327" s="9">
        <v>850</v>
      </c>
      <c r="AC327" s="28">
        <f>AVERAGE(K327:S327)</f>
        <v>250</v>
      </c>
      <c r="AD327" s="28">
        <f>MAX(K327:S327)</f>
        <v>300</v>
      </c>
      <c r="AE327" s="28">
        <f>MIN(K327:S327)</f>
        <v>200</v>
      </c>
      <c r="AG327" s="28">
        <f>+W327-AC327</f>
        <v>750</v>
      </c>
      <c r="AH327" s="28">
        <f>+W327-AD327</f>
        <v>700</v>
      </c>
      <c r="AI327" s="28">
        <f>+W327-AE327</f>
        <v>800</v>
      </c>
      <c r="AK327" s="28">
        <f>+Y327-AC327</f>
        <v>150</v>
      </c>
      <c r="AL327" s="28">
        <f>+Y327-AD327</f>
        <v>100</v>
      </c>
      <c r="AM327" s="28">
        <f>+Y327-AE327</f>
        <v>200</v>
      </c>
    </row>
    <row r="328" spans="1:39" s="1" customFormat="1" ht="12" thickBot="1" x14ac:dyDescent="0.25">
      <c r="A328" s="26"/>
      <c r="B328" s="26"/>
      <c r="C328" s="26"/>
      <c r="D328" s="26"/>
      <c r="E328" s="26"/>
      <c r="F328" s="26"/>
      <c r="G328" s="26" t="s">
        <v>330</v>
      </c>
      <c r="H328" s="28"/>
      <c r="I328" s="28">
        <v>3384</v>
      </c>
      <c r="J328" s="28"/>
      <c r="K328" s="28">
        <v>4346</v>
      </c>
      <c r="L328" s="28"/>
      <c r="M328" s="28">
        <v>3176</v>
      </c>
      <c r="N328" s="28"/>
      <c r="O328" s="28"/>
      <c r="P328" s="28"/>
      <c r="Q328" s="28">
        <v>1157.33</v>
      </c>
      <c r="R328" s="28"/>
      <c r="S328" s="11">
        <v>3135.99</v>
      </c>
      <c r="T328" s="11"/>
      <c r="U328" s="11"/>
      <c r="V328" s="11"/>
      <c r="W328" s="13">
        <v>540.55999999999995</v>
      </c>
      <c r="X328" s="9"/>
      <c r="Y328" s="9">
        <v>4000</v>
      </c>
      <c r="AA328" s="9">
        <v>3000</v>
      </c>
      <c r="AC328" s="28">
        <f>AVERAGE(K328:S328)</f>
        <v>2953.83</v>
      </c>
      <c r="AD328" s="28">
        <f>MAX(K328:S328)</f>
        <v>4346</v>
      </c>
      <c r="AE328" s="28">
        <f>MIN(K328:S328)</f>
        <v>1157.33</v>
      </c>
      <c r="AG328" s="28">
        <f>+W328-AC328</f>
        <v>-2413.27</v>
      </c>
      <c r="AH328" s="28">
        <f>+W328-AD328</f>
        <v>-3805.44</v>
      </c>
      <c r="AI328" s="28">
        <f>+W328-AE328</f>
        <v>-616.77</v>
      </c>
      <c r="AK328" s="28">
        <f>+Y328-AC328</f>
        <v>1046.17</v>
      </c>
      <c r="AL328" s="28">
        <f>+Y328-AD328</f>
        <v>-346</v>
      </c>
      <c r="AM328" s="28">
        <f>+Y328-AE328</f>
        <v>2842.67</v>
      </c>
    </row>
    <row r="329" spans="1:39" s="1" customFormat="1" ht="12" thickBot="1" x14ac:dyDescent="0.25">
      <c r="A329" s="26"/>
      <c r="B329" s="26"/>
      <c r="C329" s="26"/>
      <c r="D329" s="26"/>
      <c r="E329" s="26"/>
      <c r="F329" s="26"/>
      <c r="G329" s="26" t="s">
        <v>331</v>
      </c>
      <c r="H329" s="28"/>
      <c r="I329" s="33"/>
      <c r="J329" s="28"/>
      <c r="K329" s="33"/>
      <c r="L329" s="28"/>
      <c r="M329" s="33"/>
      <c r="N329" s="28"/>
      <c r="O329" s="33"/>
      <c r="P329" s="33"/>
      <c r="Q329" s="33">
        <v>5</v>
      </c>
      <c r="R329" s="33"/>
      <c r="S329" s="14"/>
      <c r="T329" s="11"/>
      <c r="U329" s="11"/>
      <c r="V329" s="9"/>
      <c r="W329" s="14"/>
      <c r="X329" s="9"/>
      <c r="Y329" s="14">
        <v>0</v>
      </c>
      <c r="AA329" s="14"/>
      <c r="AC329" s="33">
        <f>AVERAGE(K329:S329)</f>
        <v>5</v>
      </c>
      <c r="AD329" s="33">
        <f>MAX(K329:S329)</f>
        <v>5</v>
      </c>
      <c r="AE329" s="33">
        <f>MIN(K329:S329)</f>
        <v>5</v>
      </c>
      <c r="AG329" s="33">
        <f>+W329-AC329</f>
        <v>-5</v>
      </c>
      <c r="AH329" s="33">
        <f>+W329-AD329</f>
        <v>-5</v>
      </c>
      <c r="AI329" s="33">
        <f>+W329-AE329</f>
        <v>-5</v>
      </c>
      <c r="AK329" s="33">
        <f>+Y329-AC329</f>
        <v>-5</v>
      </c>
      <c r="AL329" s="33">
        <f>+Y329-AD329</f>
        <v>-5</v>
      </c>
      <c r="AM329" s="33">
        <f>+Y329-AE329</f>
        <v>-5</v>
      </c>
    </row>
    <row r="330" spans="1:39" s="1" customFormat="1" x14ac:dyDescent="0.2">
      <c r="A330" s="26"/>
      <c r="B330" s="26"/>
      <c r="C330" s="26"/>
      <c r="D330" s="26"/>
      <c r="E330" s="26"/>
      <c r="F330" s="26" t="s">
        <v>332</v>
      </c>
      <c r="G330" s="26"/>
      <c r="H330" s="28"/>
      <c r="I330" s="28">
        <f>ROUND(SUM(I325:I329),5)</f>
        <v>8236</v>
      </c>
      <c r="J330" s="28"/>
      <c r="K330" s="28">
        <f>ROUND(SUM(K325:K329),5)</f>
        <v>9781</v>
      </c>
      <c r="L330" s="28"/>
      <c r="M330" s="28">
        <f>ROUND(SUM(M325:M329),5)</f>
        <v>7792</v>
      </c>
      <c r="N330" s="28"/>
      <c r="O330" s="28">
        <f>ROUND(SUM(O325:O329),5)</f>
        <v>1351</v>
      </c>
      <c r="P330" s="28"/>
      <c r="Q330" s="28">
        <f>ROUND(SUM(Q325:Q329),5)</f>
        <v>8941.7199999999993</v>
      </c>
      <c r="R330" s="28"/>
      <c r="S330" s="9">
        <f>ROUND(SUM(S325:S329),5)</f>
        <v>10529.67</v>
      </c>
      <c r="T330" s="9"/>
      <c r="U330" s="9"/>
      <c r="V330" s="9"/>
      <c r="W330" s="9">
        <f>ROUND(SUM(W325:W329),5)</f>
        <v>8504.2900000000009</v>
      </c>
      <c r="X330" s="9"/>
      <c r="Y330" s="9">
        <f>ROUND(SUM(Y325:Y329),5)</f>
        <v>12000</v>
      </c>
      <c r="AA330" s="9">
        <f>ROUND(SUM(AA325:AA329),5)</f>
        <v>14027.97</v>
      </c>
      <c r="AC330" s="28">
        <f t="shared" ref="AC330:AE330" si="164">ROUND(SUM(AC325:AC329),5)</f>
        <v>8423.8439999999991</v>
      </c>
      <c r="AD330" s="28">
        <f t="shared" si="164"/>
        <v>12130.39</v>
      </c>
      <c r="AE330" s="28">
        <f t="shared" si="164"/>
        <v>2713.33</v>
      </c>
      <c r="AG330" s="28">
        <f t="shared" ref="AG330:AI330" si="165">ROUND(SUM(AG325:AG329),5)</f>
        <v>80.445999999999998</v>
      </c>
      <c r="AH330" s="28">
        <f t="shared" si="165"/>
        <v>-3626.1</v>
      </c>
      <c r="AI330" s="28">
        <f t="shared" si="165"/>
        <v>5790.96</v>
      </c>
      <c r="AK330" s="28">
        <f t="shared" ref="AK330:AM330" si="166">ROUND(SUM(AK325:AK329),5)</f>
        <v>3576.1559999999999</v>
      </c>
      <c r="AL330" s="28">
        <f t="shared" si="166"/>
        <v>-130.38999999999999</v>
      </c>
      <c r="AM330" s="28">
        <f t="shared" si="166"/>
        <v>9286.67</v>
      </c>
    </row>
    <row r="331" spans="1:39" s="1" customFormat="1" x14ac:dyDescent="0.2">
      <c r="A331" s="26"/>
      <c r="B331" s="26"/>
      <c r="C331" s="26"/>
      <c r="D331" s="26"/>
      <c r="E331" s="26"/>
      <c r="F331" s="26" t="s">
        <v>333</v>
      </c>
      <c r="G331" s="26"/>
      <c r="H331" s="28"/>
      <c r="I331" s="28"/>
      <c r="J331" s="28"/>
      <c r="K331" s="28"/>
      <c r="L331" s="28"/>
      <c r="M331" s="28"/>
      <c r="N331" s="28"/>
      <c r="O331" s="28"/>
      <c r="P331" s="28"/>
      <c r="Q331" s="28"/>
      <c r="R331" s="28"/>
      <c r="S331" s="9"/>
      <c r="T331" s="9"/>
      <c r="U331" s="9"/>
      <c r="V331" s="9"/>
      <c r="W331" s="9"/>
      <c r="X331" s="9"/>
      <c r="Y331" s="9"/>
      <c r="AA331" s="9"/>
      <c r="AC331" s="28"/>
      <c r="AD331" s="28"/>
      <c r="AE331" s="28"/>
      <c r="AG331" s="28"/>
      <c r="AH331" s="28"/>
      <c r="AI331" s="28"/>
      <c r="AK331" s="28"/>
      <c r="AL331" s="28"/>
      <c r="AM331" s="28"/>
    </row>
    <row r="332" spans="1:39" s="1" customFormat="1" x14ac:dyDescent="0.2">
      <c r="A332" s="26"/>
      <c r="B332" s="26"/>
      <c r="C332" s="26"/>
      <c r="D332" s="26"/>
      <c r="E332" s="26"/>
      <c r="F332" s="26"/>
      <c r="G332" s="26" t="s">
        <v>334</v>
      </c>
      <c r="H332" s="28"/>
      <c r="I332" s="28">
        <v>601</v>
      </c>
      <c r="J332" s="28"/>
      <c r="K332" s="28">
        <v>605</v>
      </c>
      <c r="L332" s="28"/>
      <c r="M332" s="28">
        <v>250</v>
      </c>
      <c r="N332" s="28"/>
      <c r="O332" s="28">
        <v>600.14</v>
      </c>
      <c r="P332" s="28"/>
      <c r="Q332" s="31">
        <v>459.69</v>
      </c>
      <c r="R332" s="31"/>
      <c r="S332" s="9">
        <v>552.71</v>
      </c>
      <c r="T332" s="9"/>
      <c r="U332" s="9"/>
      <c r="V332" s="9"/>
      <c r="W332" s="9">
        <v>386.32</v>
      </c>
      <c r="X332" s="9"/>
      <c r="Y332" s="9">
        <v>500</v>
      </c>
      <c r="AA332" s="9">
        <v>500</v>
      </c>
      <c r="AC332" s="28">
        <f>AVERAGE(K332:S332)</f>
        <v>493.50799999999998</v>
      </c>
      <c r="AD332" s="28">
        <f>MAX(K332:S332)</f>
        <v>605</v>
      </c>
      <c r="AE332" s="28">
        <f>MIN(K332:S332)</f>
        <v>250</v>
      </c>
      <c r="AG332" s="28">
        <f>+W332-AC332</f>
        <v>-107.18799999999999</v>
      </c>
      <c r="AH332" s="28">
        <f>+W332-AD332</f>
        <v>-218.68</v>
      </c>
      <c r="AI332" s="28">
        <f>+W332-AE332</f>
        <v>136.32</v>
      </c>
      <c r="AK332" s="28">
        <f>+Y332-AC332</f>
        <v>6.4920000000000186</v>
      </c>
      <c r="AL332" s="28">
        <f>+Y332-AD332</f>
        <v>-105</v>
      </c>
      <c r="AM332" s="28">
        <f>+Y332-AE332</f>
        <v>250</v>
      </c>
    </row>
    <row r="333" spans="1:39" s="1" customFormat="1" ht="12" thickBot="1" x14ac:dyDescent="0.25">
      <c r="A333" s="26"/>
      <c r="B333" s="26"/>
      <c r="C333" s="26"/>
      <c r="D333" s="26"/>
      <c r="E333" s="26"/>
      <c r="F333" s="26"/>
      <c r="G333" s="26" t="s">
        <v>335</v>
      </c>
      <c r="H333" s="28"/>
      <c r="I333" s="33"/>
      <c r="J333" s="28"/>
      <c r="K333" s="33"/>
      <c r="L333" s="28"/>
      <c r="M333" s="33"/>
      <c r="N333" s="28"/>
      <c r="O333" s="33"/>
      <c r="P333" s="33"/>
      <c r="Q333" s="33"/>
      <c r="R333" s="33"/>
      <c r="S333" s="14">
        <v>3326.29</v>
      </c>
      <c r="T333" s="11"/>
      <c r="U333" s="11"/>
      <c r="V333" s="9"/>
      <c r="W333" s="14">
        <v>1367.93</v>
      </c>
      <c r="X333" s="9"/>
      <c r="Y333" s="14"/>
      <c r="AA333" s="14">
        <v>750</v>
      </c>
      <c r="AC333" s="33">
        <f>AVERAGE(K333:S333)</f>
        <v>3326.29</v>
      </c>
      <c r="AD333" s="33">
        <f>MAX(K333:S333)</f>
        <v>3326.29</v>
      </c>
      <c r="AE333" s="33">
        <f>MIN(K333:S333)</f>
        <v>3326.29</v>
      </c>
      <c r="AG333" s="33">
        <f>+W333-AC333</f>
        <v>-1958.36</v>
      </c>
      <c r="AH333" s="33">
        <f>+W333-AD333</f>
        <v>-1958.36</v>
      </c>
      <c r="AI333" s="33">
        <f>+W333-AE333</f>
        <v>-1958.36</v>
      </c>
      <c r="AK333" s="33">
        <f>+Y333-AC333</f>
        <v>-3326.29</v>
      </c>
      <c r="AL333" s="33">
        <f>+Y333-AD333</f>
        <v>-3326.29</v>
      </c>
      <c r="AM333" s="33">
        <f>+Y333-AE333</f>
        <v>-3326.29</v>
      </c>
    </row>
    <row r="334" spans="1:39" s="1" customFormat="1" x14ac:dyDescent="0.2">
      <c r="A334" s="26"/>
      <c r="B334" s="26"/>
      <c r="C334" s="26"/>
      <c r="D334" s="26"/>
      <c r="E334" s="26"/>
      <c r="F334" s="26" t="s">
        <v>336</v>
      </c>
      <c r="G334" s="26"/>
      <c r="H334" s="28"/>
      <c r="I334" s="28">
        <f>ROUND(SUM(I331:I333),5)</f>
        <v>601</v>
      </c>
      <c r="J334" s="28"/>
      <c r="K334" s="28">
        <f>ROUND(SUM(K331:K333),5)</f>
        <v>605</v>
      </c>
      <c r="L334" s="28"/>
      <c r="M334" s="28">
        <f>ROUND(SUM(M331:M333),5)</f>
        <v>250</v>
      </c>
      <c r="N334" s="28"/>
      <c r="O334" s="28">
        <f>ROUND(SUM(O331:O333),5)</f>
        <v>600.14</v>
      </c>
      <c r="P334" s="28"/>
      <c r="Q334" s="28">
        <f>ROUND(SUM(Q331:Q333),5)</f>
        <v>459.69</v>
      </c>
      <c r="R334" s="28"/>
      <c r="S334" s="9">
        <f>ROUND(SUM(S331:S333),5)</f>
        <v>3879</v>
      </c>
      <c r="T334" s="9"/>
      <c r="U334" s="9"/>
      <c r="V334" s="9"/>
      <c r="W334" s="9">
        <f>ROUND(SUM(W331:W333),5)</f>
        <v>1754.25</v>
      </c>
      <c r="X334" s="9"/>
      <c r="Y334" s="9">
        <f>ROUND(SUM(Y331:Y333),5)</f>
        <v>500</v>
      </c>
      <c r="AA334" s="9">
        <f>ROUND(SUM(AA331:AA333),5)</f>
        <v>1250</v>
      </c>
      <c r="AC334" s="28">
        <f t="shared" ref="AC334:AE334" si="167">ROUND(SUM(AC331:AC333),5)</f>
        <v>3819.7979999999998</v>
      </c>
      <c r="AD334" s="28">
        <f t="shared" si="167"/>
        <v>3931.29</v>
      </c>
      <c r="AE334" s="28">
        <f t="shared" si="167"/>
        <v>3576.29</v>
      </c>
      <c r="AG334" s="28">
        <f t="shared" ref="AG334:AI334" si="168">ROUND(SUM(AG331:AG333),5)</f>
        <v>-2065.5479999999998</v>
      </c>
      <c r="AH334" s="28">
        <f t="shared" si="168"/>
        <v>-2177.04</v>
      </c>
      <c r="AI334" s="28">
        <f t="shared" si="168"/>
        <v>-1822.04</v>
      </c>
      <c r="AK334" s="28">
        <f t="shared" ref="AK334:AM334" si="169">ROUND(SUM(AK331:AK333),5)</f>
        <v>-3319.7979999999998</v>
      </c>
      <c r="AL334" s="28">
        <f t="shared" si="169"/>
        <v>-3431.29</v>
      </c>
      <c r="AM334" s="28">
        <f t="shared" si="169"/>
        <v>-3076.29</v>
      </c>
    </row>
    <row r="335" spans="1:39" s="1" customFormat="1" x14ac:dyDescent="0.2">
      <c r="A335" s="26"/>
      <c r="B335" s="26"/>
      <c r="C335" s="26"/>
      <c r="D335" s="26"/>
      <c r="E335" s="26"/>
      <c r="F335" s="26" t="s">
        <v>337</v>
      </c>
      <c r="G335" s="26"/>
      <c r="H335" s="28"/>
      <c r="I335" s="28"/>
      <c r="J335" s="28"/>
      <c r="K335" s="28"/>
      <c r="L335" s="28"/>
      <c r="M335" s="28"/>
      <c r="N335" s="28"/>
      <c r="O335" s="28"/>
      <c r="P335" s="28"/>
      <c r="Q335" s="28"/>
      <c r="R335" s="28"/>
      <c r="S335" s="9"/>
      <c r="T335" s="9"/>
      <c r="U335" s="9"/>
      <c r="V335" s="9"/>
      <c r="W335" s="9"/>
      <c r="X335" s="9"/>
      <c r="Y335" s="9"/>
      <c r="AA335" s="9"/>
      <c r="AC335" s="28"/>
      <c r="AD335" s="28"/>
      <c r="AE335" s="28"/>
      <c r="AG335" s="28"/>
      <c r="AH335" s="28"/>
      <c r="AI335" s="28"/>
      <c r="AK335" s="28"/>
      <c r="AL335" s="28"/>
      <c r="AM335" s="28"/>
    </row>
    <row r="336" spans="1:39" s="1" customFormat="1" x14ac:dyDescent="0.2">
      <c r="A336" s="26"/>
      <c r="B336" s="26"/>
      <c r="C336" s="26"/>
      <c r="D336" s="26"/>
      <c r="E336" s="26"/>
      <c r="F336" s="26"/>
      <c r="G336" s="26" t="s">
        <v>338</v>
      </c>
      <c r="H336" s="28"/>
      <c r="I336" s="28"/>
      <c r="J336" s="28"/>
      <c r="K336" s="28"/>
      <c r="L336" s="28"/>
      <c r="M336" s="28"/>
      <c r="N336" s="28"/>
      <c r="O336" s="28"/>
      <c r="P336" s="28"/>
      <c r="Q336" s="28">
        <v>0</v>
      </c>
      <c r="R336" s="28"/>
      <c r="S336" s="9">
        <v>0</v>
      </c>
      <c r="T336" s="9"/>
      <c r="U336" s="9"/>
      <c r="V336" s="9"/>
      <c r="W336" s="9"/>
      <c r="X336" s="9"/>
      <c r="Y336" s="9">
        <v>0</v>
      </c>
      <c r="AA336" s="9"/>
      <c r="AC336" s="28">
        <f>AVERAGE(K336:S336)</f>
        <v>0</v>
      </c>
      <c r="AD336" s="28">
        <f>MAX(K336:S336)</f>
        <v>0</v>
      </c>
      <c r="AE336" s="28">
        <f>MIN(K336:S336)</f>
        <v>0</v>
      </c>
      <c r="AG336" s="28">
        <f>+W336-AC336</f>
        <v>0</v>
      </c>
      <c r="AH336" s="28">
        <f>+W336-AD336</f>
        <v>0</v>
      </c>
      <c r="AI336" s="28">
        <f>+W336-AE336</f>
        <v>0</v>
      </c>
      <c r="AK336" s="28">
        <f>+Y336-AC336</f>
        <v>0</v>
      </c>
      <c r="AL336" s="28">
        <f>+Y336-AD336</f>
        <v>0</v>
      </c>
      <c r="AM336" s="28">
        <f>+Y336-AE336</f>
        <v>0</v>
      </c>
    </row>
    <row r="337" spans="1:39" s="1" customFormat="1" x14ac:dyDescent="0.2">
      <c r="A337" s="26"/>
      <c r="B337" s="26"/>
      <c r="C337" s="26"/>
      <c r="D337" s="26"/>
      <c r="E337" s="26"/>
      <c r="F337" s="26"/>
      <c r="G337" s="26" t="s">
        <v>339</v>
      </c>
      <c r="H337" s="28"/>
      <c r="I337" s="28">
        <f>11824+1103</f>
        <v>12927</v>
      </c>
      <c r="J337" s="28"/>
      <c r="K337" s="28">
        <f>10231+1476</f>
        <v>11707</v>
      </c>
      <c r="L337" s="28"/>
      <c r="M337" s="28">
        <f>9631+1668</f>
        <v>11299</v>
      </c>
      <c r="N337" s="28"/>
      <c r="O337" s="28">
        <v>7142.87</v>
      </c>
      <c r="P337" s="28"/>
      <c r="Q337" s="28">
        <v>6664.1</v>
      </c>
      <c r="R337" s="28"/>
      <c r="S337" s="9">
        <v>675.08</v>
      </c>
      <c r="T337" s="9"/>
      <c r="U337" s="9"/>
      <c r="V337" s="9"/>
      <c r="W337" s="8">
        <v>738</v>
      </c>
      <c r="X337" s="9"/>
      <c r="Y337" s="9">
        <v>990</v>
      </c>
      <c r="AA337" s="9">
        <v>1000</v>
      </c>
      <c r="AC337" s="28">
        <f>AVERAGE(K337:S337)</f>
        <v>7497.6100000000006</v>
      </c>
      <c r="AD337" s="28">
        <f>MAX(K337:S337)</f>
        <v>11707</v>
      </c>
      <c r="AE337" s="28">
        <f>MIN(K337:S337)</f>
        <v>675.08</v>
      </c>
      <c r="AG337" s="28">
        <f>+W337-AC337</f>
        <v>-6759.6100000000006</v>
      </c>
      <c r="AH337" s="28">
        <f>+W337-AD337</f>
        <v>-10969</v>
      </c>
      <c r="AI337" s="28">
        <f>+W337-AE337</f>
        <v>62.919999999999959</v>
      </c>
      <c r="AK337" s="28">
        <f>+Y337-AC337</f>
        <v>-6507.6100000000006</v>
      </c>
      <c r="AL337" s="28">
        <f>+Y337-AD337</f>
        <v>-10717</v>
      </c>
      <c r="AM337" s="28">
        <f>+Y337-AE337</f>
        <v>314.91999999999996</v>
      </c>
    </row>
    <row r="338" spans="1:39" s="1" customFormat="1" x14ac:dyDescent="0.2">
      <c r="A338" s="26"/>
      <c r="B338" s="26"/>
      <c r="C338" s="26"/>
      <c r="D338" s="26"/>
      <c r="E338" s="26"/>
      <c r="F338" s="26"/>
      <c r="G338" s="26" t="s">
        <v>353</v>
      </c>
      <c r="H338" s="28"/>
      <c r="I338" s="28"/>
      <c r="J338" s="28"/>
      <c r="K338" s="28"/>
      <c r="L338" s="28"/>
      <c r="M338" s="28"/>
      <c r="N338" s="28"/>
      <c r="O338" s="28"/>
      <c r="P338" s="28"/>
      <c r="Q338" s="28"/>
      <c r="R338" s="28"/>
      <c r="S338" s="9"/>
      <c r="T338" s="9"/>
      <c r="U338" s="9"/>
      <c r="V338" s="9"/>
      <c r="W338" s="8">
        <v>500</v>
      </c>
      <c r="X338" s="9"/>
      <c r="Y338" s="9"/>
      <c r="AA338" s="9"/>
      <c r="AC338" s="28"/>
      <c r="AD338" s="28"/>
      <c r="AE338" s="28"/>
      <c r="AG338" s="28"/>
      <c r="AH338" s="28"/>
      <c r="AI338" s="28"/>
      <c r="AK338" s="28"/>
      <c r="AL338" s="28"/>
      <c r="AM338" s="28"/>
    </row>
    <row r="339" spans="1:39" s="1" customFormat="1" x14ac:dyDescent="0.2">
      <c r="A339" s="26"/>
      <c r="B339" s="26"/>
      <c r="C339" s="26"/>
      <c r="D339" s="26"/>
      <c r="E339" s="26"/>
      <c r="F339" s="26"/>
      <c r="G339" s="26" t="s">
        <v>340</v>
      </c>
      <c r="H339" s="28"/>
      <c r="I339" s="28"/>
      <c r="J339" s="28"/>
      <c r="K339" s="28"/>
      <c r="L339" s="28"/>
      <c r="M339" s="28"/>
      <c r="N339" s="28"/>
      <c r="O339" s="28"/>
      <c r="P339" s="28"/>
      <c r="Q339" s="28">
        <v>690</v>
      </c>
      <c r="R339" s="28"/>
      <c r="S339" s="9"/>
      <c r="T339" s="9"/>
      <c r="U339" s="9"/>
      <c r="V339" s="9"/>
      <c r="W339" s="8">
        <v>9920</v>
      </c>
      <c r="X339" s="9"/>
      <c r="Y339" s="9">
        <v>1040</v>
      </c>
      <c r="AA339" s="9">
        <v>5000</v>
      </c>
      <c r="AC339" s="28">
        <f t="shared" ref="AC339:AC344" si="170">AVERAGE(K339:S339)</f>
        <v>690</v>
      </c>
      <c r="AD339" s="28">
        <f t="shared" ref="AD339:AD344" si="171">MAX(K339:S339)</f>
        <v>690</v>
      </c>
      <c r="AE339" s="28">
        <f t="shared" ref="AE339:AE344" si="172">MIN(K339:S339)</f>
        <v>690</v>
      </c>
      <c r="AG339" s="28">
        <f t="shared" ref="AG339:AG344" si="173">+W339-AC339</f>
        <v>9230</v>
      </c>
      <c r="AH339" s="28">
        <f t="shared" ref="AH339:AH344" si="174">+W339-AD339</f>
        <v>9230</v>
      </c>
      <c r="AI339" s="28">
        <f t="shared" ref="AI339:AI344" si="175">+W339-AE339</f>
        <v>9230</v>
      </c>
      <c r="AK339" s="28">
        <f t="shared" ref="AK339:AK344" si="176">+Y339-AC339</f>
        <v>350</v>
      </c>
      <c r="AL339" s="28">
        <f t="shared" ref="AL339:AL344" si="177">+Y339-AD339</f>
        <v>350</v>
      </c>
      <c r="AM339" s="28">
        <f t="shared" ref="AM339:AM344" si="178">+Y339-AE339</f>
        <v>350</v>
      </c>
    </row>
    <row r="340" spans="1:39" s="1" customFormat="1" x14ac:dyDescent="0.2">
      <c r="A340" s="26"/>
      <c r="B340" s="26"/>
      <c r="C340" s="26"/>
      <c r="D340" s="26"/>
      <c r="E340" s="26"/>
      <c r="F340" s="26"/>
      <c r="G340" s="26" t="s">
        <v>341</v>
      </c>
      <c r="H340" s="28"/>
      <c r="I340" s="28">
        <f>1365+277</f>
        <v>1642</v>
      </c>
      <c r="J340" s="28"/>
      <c r="K340" s="28">
        <f>2699+261</f>
        <v>2960</v>
      </c>
      <c r="L340" s="28"/>
      <c r="M340" s="28">
        <f>1478+66</f>
        <v>1544</v>
      </c>
      <c r="N340" s="28"/>
      <c r="O340" s="28">
        <v>1255.3599999999999</v>
      </c>
      <c r="P340" s="28"/>
      <c r="Q340" s="28">
        <v>4032.43</v>
      </c>
      <c r="R340" s="28"/>
      <c r="S340" s="9">
        <v>2747.18</v>
      </c>
      <c r="T340" s="9"/>
      <c r="U340" s="9"/>
      <c r="V340" s="9"/>
      <c r="W340" s="8">
        <v>933.25</v>
      </c>
      <c r="X340" s="9"/>
      <c r="Y340" s="9">
        <v>2755</v>
      </c>
      <c r="AA340" s="9">
        <v>1500</v>
      </c>
      <c r="AC340" s="28">
        <f t="shared" si="170"/>
        <v>2507.7939999999999</v>
      </c>
      <c r="AD340" s="28">
        <f t="shared" si="171"/>
        <v>4032.43</v>
      </c>
      <c r="AE340" s="28">
        <f t="shared" si="172"/>
        <v>1255.3599999999999</v>
      </c>
      <c r="AG340" s="28">
        <f t="shared" si="173"/>
        <v>-1574.5439999999999</v>
      </c>
      <c r="AH340" s="28">
        <f t="shared" si="174"/>
        <v>-3099.18</v>
      </c>
      <c r="AI340" s="28">
        <f t="shared" si="175"/>
        <v>-322.1099999999999</v>
      </c>
      <c r="AK340" s="28">
        <f t="shared" si="176"/>
        <v>247.20600000000013</v>
      </c>
      <c r="AL340" s="28">
        <f t="shared" si="177"/>
        <v>-1277.4299999999998</v>
      </c>
      <c r="AM340" s="28">
        <f t="shared" si="178"/>
        <v>1499.64</v>
      </c>
    </row>
    <row r="341" spans="1:39" s="1" customFormat="1" x14ac:dyDescent="0.2">
      <c r="A341" s="26"/>
      <c r="B341" s="26"/>
      <c r="C341" s="26"/>
      <c r="D341" s="26"/>
      <c r="E341" s="26"/>
      <c r="F341" s="26"/>
      <c r="G341" s="26" t="s">
        <v>342</v>
      </c>
      <c r="H341" s="28"/>
      <c r="I341" s="28"/>
      <c r="J341" s="28"/>
      <c r="K341" s="28"/>
      <c r="L341" s="28"/>
      <c r="M341" s="28"/>
      <c r="N341" s="28"/>
      <c r="O341" s="28"/>
      <c r="P341" s="28"/>
      <c r="Q341" s="28">
        <v>365.71</v>
      </c>
      <c r="R341" s="28"/>
      <c r="S341" s="9">
        <v>975</v>
      </c>
      <c r="T341" s="9"/>
      <c r="U341" s="9"/>
      <c r="V341" s="9"/>
      <c r="W341" s="8">
        <v>910.6</v>
      </c>
      <c r="X341" s="9"/>
      <c r="Y341" s="9">
        <v>975</v>
      </c>
      <c r="AA341" s="9">
        <v>1000</v>
      </c>
      <c r="AC341" s="28">
        <f t="shared" si="170"/>
        <v>670.35500000000002</v>
      </c>
      <c r="AD341" s="28">
        <f t="shared" si="171"/>
        <v>975</v>
      </c>
      <c r="AE341" s="28">
        <f t="shared" si="172"/>
        <v>365.71</v>
      </c>
      <c r="AG341" s="28">
        <f t="shared" si="173"/>
        <v>240.245</v>
      </c>
      <c r="AH341" s="28">
        <f t="shared" si="174"/>
        <v>-64.399999999999977</v>
      </c>
      <c r="AI341" s="28">
        <f t="shared" si="175"/>
        <v>544.8900000000001</v>
      </c>
      <c r="AK341" s="28">
        <f t="shared" si="176"/>
        <v>304.64499999999998</v>
      </c>
      <c r="AL341" s="28">
        <f t="shared" si="177"/>
        <v>0</v>
      </c>
      <c r="AM341" s="28">
        <f t="shared" si="178"/>
        <v>609.29</v>
      </c>
    </row>
    <row r="342" spans="1:39" s="1" customFormat="1" x14ac:dyDescent="0.2">
      <c r="A342" s="26"/>
      <c r="B342" s="26"/>
      <c r="C342" s="26"/>
      <c r="D342" s="26"/>
      <c r="E342" s="26"/>
      <c r="F342" s="26"/>
      <c r="G342" s="26" t="s">
        <v>343</v>
      </c>
      <c r="H342" s="28"/>
      <c r="I342" s="28">
        <v>4855</v>
      </c>
      <c r="J342" s="28"/>
      <c r="K342" s="28">
        <v>612</v>
      </c>
      <c r="L342" s="28"/>
      <c r="M342" s="28">
        <v>1747</v>
      </c>
      <c r="N342" s="28"/>
      <c r="O342" s="28">
        <v>7454.81</v>
      </c>
      <c r="P342" s="28"/>
      <c r="Q342" s="28">
        <v>90.76</v>
      </c>
      <c r="R342" s="28"/>
      <c r="S342" s="9">
        <v>1179.73</v>
      </c>
      <c r="T342" s="9"/>
      <c r="U342" s="9"/>
      <c r="V342" s="9"/>
      <c r="W342" s="8">
        <v>6865.51</v>
      </c>
      <c r="X342" s="9"/>
      <c r="Y342" s="9">
        <v>3800</v>
      </c>
      <c r="AA342" s="9">
        <v>1800</v>
      </c>
      <c r="AC342" s="28">
        <f t="shared" si="170"/>
        <v>2216.86</v>
      </c>
      <c r="AD342" s="28">
        <f t="shared" si="171"/>
        <v>7454.81</v>
      </c>
      <c r="AE342" s="28">
        <f t="shared" si="172"/>
        <v>90.76</v>
      </c>
      <c r="AG342" s="28">
        <f t="shared" si="173"/>
        <v>4648.6499999999996</v>
      </c>
      <c r="AH342" s="28">
        <f t="shared" si="174"/>
        <v>-589.30000000000018</v>
      </c>
      <c r="AI342" s="28">
        <f t="shared" si="175"/>
        <v>6774.75</v>
      </c>
      <c r="AK342" s="28">
        <f t="shared" si="176"/>
        <v>1583.1399999999999</v>
      </c>
      <c r="AL342" s="28">
        <f t="shared" si="177"/>
        <v>-3654.8100000000004</v>
      </c>
      <c r="AM342" s="28">
        <f t="shared" si="178"/>
        <v>3709.24</v>
      </c>
    </row>
    <row r="343" spans="1:39" s="1" customFormat="1" x14ac:dyDescent="0.2">
      <c r="A343" s="26"/>
      <c r="B343" s="26"/>
      <c r="C343" s="26"/>
      <c r="D343" s="26"/>
      <c r="E343" s="26"/>
      <c r="F343" s="26"/>
      <c r="G343" s="26" t="s">
        <v>344</v>
      </c>
      <c r="H343" s="28"/>
      <c r="I343" s="28"/>
      <c r="J343" s="28"/>
      <c r="K343" s="28"/>
      <c r="L343" s="28"/>
      <c r="M343" s="28"/>
      <c r="N343" s="28"/>
      <c r="O343" s="28"/>
      <c r="P343" s="28"/>
      <c r="Q343" s="28">
        <v>9231.86</v>
      </c>
      <c r="R343" s="28"/>
      <c r="S343" s="9">
        <v>13408.02</v>
      </c>
      <c r="T343" s="9"/>
      <c r="U343" s="9"/>
      <c r="V343" s="9"/>
      <c r="W343" s="8">
        <v>3089.09</v>
      </c>
      <c r="X343" s="9"/>
      <c r="Y343" s="9">
        <v>10000</v>
      </c>
      <c r="AA343" s="9"/>
      <c r="AC343" s="28">
        <f t="shared" si="170"/>
        <v>11319.94</v>
      </c>
      <c r="AD343" s="28">
        <f t="shared" si="171"/>
        <v>13408.02</v>
      </c>
      <c r="AE343" s="28">
        <f t="shared" si="172"/>
        <v>9231.86</v>
      </c>
      <c r="AG343" s="28">
        <f t="shared" si="173"/>
        <v>-8230.85</v>
      </c>
      <c r="AH343" s="28">
        <f t="shared" si="174"/>
        <v>-10318.93</v>
      </c>
      <c r="AI343" s="28">
        <f t="shared" si="175"/>
        <v>-6142.77</v>
      </c>
      <c r="AK343" s="28">
        <f t="shared" si="176"/>
        <v>-1319.9400000000005</v>
      </c>
      <c r="AL343" s="28">
        <f t="shared" si="177"/>
        <v>-3408.0200000000004</v>
      </c>
      <c r="AM343" s="28">
        <f t="shared" si="178"/>
        <v>768.13999999999942</v>
      </c>
    </row>
    <row r="344" spans="1:39" s="1" customFormat="1" ht="12" thickBot="1" x14ac:dyDescent="0.25">
      <c r="A344" s="26"/>
      <c r="B344" s="26"/>
      <c r="C344" s="26"/>
      <c r="D344" s="26"/>
      <c r="E344" s="26"/>
      <c r="F344" s="26"/>
      <c r="G344" s="26" t="s">
        <v>345</v>
      </c>
      <c r="H344" s="28"/>
      <c r="I344" s="31">
        <v>1691</v>
      </c>
      <c r="J344" s="28"/>
      <c r="K344" s="31">
        <v>5324</v>
      </c>
      <c r="L344" s="28"/>
      <c r="M344" s="31">
        <v>12069</v>
      </c>
      <c r="N344" s="28"/>
      <c r="O344" s="31">
        <v>17138.28</v>
      </c>
      <c r="P344" s="31"/>
      <c r="Q344" s="28">
        <v>4924.07</v>
      </c>
      <c r="R344" s="28"/>
      <c r="S344" s="9">
        <v>4154.1099999999997</v>
      </c>
      <c r="T344" s="11"/>
      <c r="U344" s="11"/>
      <c r="V344" s="9"/>
      <c r="W344" s="10">
        <v>6354.67</v>
      </c>
      <c r="X344" s="9"/>
      <c r="Y344" s="11">
        <v>2000</v>
      </c>
      <c r="AA344" s="11">
        <v>5000</v>
      </c>
      <c r="AC344" s="31">
        <f t="shared" si="170"/>
        <v>8721.8919999999998</v>
      </c>
      <c r="AD344" s="31">
        <f t="shared" si="171"/>
        <v>17138.28</v>
      </c>
      <c r="AE344" s="31">
        <f t="shared" si="172"/>
        <v>4154.1099999999997</v>
      </c>
      <c r="AG344" s="31">
        <f t="shared" si="173"/>
        <v>-2367.2219999999998</v>
      </c>
      <c r="AH344" s="31">
        <f t="shared" si="174"/>
        <v>-10783.609999999999</v>
      </c>
      <c r="AI344" s="31">
        <f t="shared" si="175"/>
        <v>2200.5600000000004</v>
      </c>
      <c r="AK344" s="31">
        <f t="shared" si="176"/>
        <v>-6721.8919999999998</v>
      </c>
      <c r="AL344" s="31">
        <f t="shared" si="177"/>
        <v>-15138.279999999999</v>
      </c>
      <c r="AM344" s="31">
        <f t="shared" si="178"/>
        <v>-2154.1099999999997</v>
      </c>
    </row>
    <row r="345" spans="1:39" s="1" customFormat="1" ht="12" thickBot="1" x14ac:dyDescent="0.25">
      <c r="A345" s="26"/>
      <c r="B345" s="26"/>
      <c r="C345" s="26"/>
      <c r="D345" s="26"/>
      <c r="E345" s="26"/>
      <c r="F345" s="26" t="s">
        <v>346</v>
      </c>
      <c r="G345" s="26"/>
      <c r="H345" s="28"/>
      <c r="I345" s="34">
        <f>ROUND(SUM(I335:I344),5)</f>
        <v>21115</v>
      </c>
      <c r="J345" s="28"/>
      <c r="K345" s="34">
        <f>ROUND(SUM(K335:K344),5)</f>
        <v>20603</v>
      </c>
      <c r="L345" s="28"/>
      <c r="M345" s="34">
        <f>ROUND(SUM(M335:M344),5)</f>
        <v>26659</v>
      </c>
      <c r="N345" s="28"/>
      <c r="O345" s="34">
        <f>ROUND(SUM(O335:O344),5)</f>
        <v>32991.32</v>
      </c>
      <c r="P345" s="34"/>
      <c r="Q345" s="34">
        <f>ROUND(SUM(Q335:Q344),5)</f>
        <v>25998.93</v>
      </c>
      <c r="R345" s="34"/>
      <c r="S345" s="15">
        <f>ROUND(SUM(S335:S344),5)</f>
        <v>23139.119999999999</v>
      </c>
      <c r="T345" s="11"/>
      <c r="U345" s="11"/>
      <c r="V345" s="9"/>
      <c r="W345" s="15">
        <f>ROUND(SUM(W335:W344),5)</f>
        <v>29311.119999999999</v>
      </c>
      <c r="X345" s="9"/>
      <c r="Y345" s="15">
        <f>ROUND(SUM(Y335:Y344),5)</f>
        <v>21560</v>
      </c>
      <c r="AA345" s="15">
        <f>ROUND(SUM(AA335:AA344),5)</f>
        <v>15300</v>
      </c>
      <c r="AC345" s="34">
        <f>ROUND(SUM(AC335:AC344),5)</f>
        <v>33624.451000000001</v>
      </c>
      <c r="AD345" s="34">
        <f>ROUND(SUM(AD335:AD344),5)</f>
        <v>55405.54</v>
      </c>
      <c r="AE345" s="34">
        <f>ROUND(SUM(AE335:AE344),5)</f>
        <v>16462.88</v>
      </c>
      <c r="AG345" s="34">
        <f>ROUND(SUM(AG335:AG344),5)</f>
        <v>-4813.3310000000001</v>
      </c>
      <c r="AH345" s="34">
        <f>ROUND(SUM(AH335:AH344),5)</f>
        <v>-26594.42</v>
      </c>
      <c r="AI345" s="34">
        <f>ROUND(SUM(AI335:AI344),5)</f>
        <v>12348.24</v>
      </c>
      <c r="AK345" s="34">
        <f>ROUND(SUM(AK335:AK344),5)</f>
        <v>-12064.450999999999</v>
      </c>
      <c r="AL345" s="34">
        <f>ROUND(SUM(AL335:AL344),5)</f>
        <v>-33845.54</v>
      </c>
      <c r="AM345" s="34">
        <f>ROUND(SUM(AM335:AM344),5)</f>
        <v>5097.12</v>
      </c>
    </row>
    <row r="346" spans="1:39" s="1" customFormat="1" ht="12" thickBot="1" x14ac:dyDescent="0.25">
      <c r="A346" s="26"/>
      <c r="B346" s="26"/>
      <c r="C346" s="26"/>
      <c r="D346" s="26"/>
      <c r="E346" s="26" t="s">
        <v>347</v>
      </c>
      <c r="F346" s="26"/>
      <c r="G346" s="26"/>
      <c r="H346" s="28"/>
      <c r="I346" s="34">
        <f>ROUND(I317+I324+I330+I334+I345,5)</f>
        <v>340647</v>
      </c>
      <c r="J346" s="28"/>
      <c r="K346" s="34">
        <f>ROUND(K317+K324+K330+K334+K345,5)</f>
        <v>368057</v>
      </c>
      <c r="L346" s="28"/>
      <c r="M346" s="34">
        <f>ROUND(M317+M324+M330+M334+M345,5)</f>
        <v>337350</v>
      </c>
      <c r="N346" s="28"/>
      <c r="O346" s="34">
        <f>ROUND(O317+O324+O330+O334+O345,5)</f>
        <v>372206.45</v>
      </c>
      <c r="P346" s="34"/>
      <c r="Q346" s="34">
        <f>ROUND(Q317+Q324+Q330+Q334+Q345,5)</f>
        <v>384336.68</v>
      </c>
      <c r="R346" s="34"/>
      <c r="S346" s="15">
        <f>ROUND(S317+S324+S330+S334+S345,5)</f>
        <v>418180.44</v>
      </c>
      <c r="T346" s="11"/>
      <c r="U346" s="11"/>
      <c r="V346" s="9"/>
      <c r="W346" s="15">
        <f>ROUND(W317+W324+W330+W334+W345,5)</f>
        <v>428315.53</v>
      </c>
      <c r="X346" s="9"/>
      <c r="Y346" s="15">
        <f>ROUND(Y317+Y324+Y330+Y334+Y345,5)</f>
        <v>432364</v>
      </c>
      <c r="AA346" s="15">
        <f>ROUND(AA317+AA324+AA330+AA334+AA345,5)</f>
        <v>441121.97</v>
      </c>
      <c r="AC346" s="34">
        <f>ROUND(AC317+AC324+AC330+AC334+AC345,5)</f>
        <v>393275.26500000001</v>
      </c>
      <c r="AD346" s="34">
        <f>ROUND(AD317+AD324+AD330+AD334+AD345,5)</f>
        <v>458311.4</v>
      </c>
      <c r="AE346" s="34">
        <f>ROUND(AE317+AE324+AE330+AE334+AE345,5)</f>
        <v>323617.76</v>
      </c>
      <c r="AG346" s="34">
        <f>ROUND(AG317+AG324+AG330+AG334+AG345,5)</f>
        <v>34540.264999999999</v>
      </c>
      <c r="AH346" s="34">
        <f>ROUND(AH317+AH324+AH330+AH334+AH345,5)</f>
        <v>-30495.87</v>
      </c>
      <c r="AI346" s="34">
        <f>ROUND(AI317+AI324+AI330+AI334+AI345,5)</f>
        <v>104197.77</v>
      </c>
      <c r="AK346" s="34">
        <f>ROUND(AK317+AK324+AK330+AK334+AK345,5)</f>
        <v>39088.735000000001</v>
      </c>
      <c r="AL346" s="34">
        <f>ROUND(AL317+AL324+AL330+AL334+AL345,5)</f>
        <v>-25947.4</v>
      </c>
      <c r="AM346" s="34">
        <f>ROUND(AM317+AM324+AM330+AM334+AM345,5)</f>
        <v>108746.24000000001</v>
      </c>
    </row>
    <row r="347" spans="1:39" s="1" customFormat="1" ht="12" thickBot="1" x14ac:dyDescent="0.25">
      <c r="A347" s="26"/>
      <c r="B347" s="26"/>
      <c r="C347" s="26"/>
      <c r="D347" s="26" t="s">
        <v>348</v>
      </c>
      <c r="E347" s="26"/>
      <c r="F347" s="26"/>
      <c r="G347" s="26"/>
      <c r="H347" s="28"/>
      <c r="I347" s="34">
        <f>ROUND(I88+I131+I165+I213+I238+I276+I297+I315+I346,5)</f>
        <v>2872489</v>
      </c>
      <c r="J347" s="28"/>
      <c r="K347" s="34">
        <f>ROUND(K88+K131+K165+K213+K238+K276+K297+K315+K346,5)</f>
        <v>3067668</v>
      </c>
      <c r="L347" s="28"/>
      <c r="M347" s="34">
        <f>ROUND(M88+M131+M165+M213+M238+M276+M297+M315+M346,5)</f>
        <v>3296432</v>
      </c>
      <c r="N347" s="28"/>
      <c r="O347" s="34">
        <f>ROUND(O88+O131+O165+O213+O238+O276+O297+O315+O346,5)</f>
        <v>3575082.26</v>
      </c>
      <c r="P347" s="34"/>
      <c r="Q347" s="34">
        <f>ROUND(Q88+Q131+Q165+Q213+Q238+Q276+Q297+Q315+Q346,5)</f>
        <v>3424790.42</v>
      </c>
      <c r="R347" s="34"/>
      <c r="S347" s="15">
        <f>ROUND(S88+S131+S165+S213+S238+S276+S297+S315+S346,5)</f>
        <v>3707545.75</v>
      </c>
      <c r="T347" s="11"/>
      <c r="U347" s="11"/>
      <c r="V347" s="9"/>
      <c r="W347" s="15">
        <f>ROUND(W88+W131+W165+W213+W238+W276+W297+W315+W346,5)</f>
        <v>3277698.17</v>
      </c>
      <c r="X347" s="9"/>
      <c r="Y347" s="15">
        <f>ROUND(Y88+Y131+Y165+Y213+Y238+Y276+Y297+Y315+Y346,5)</f>
        <v>3703708</v>
      </c>
      <c r="AA347" s="15">
        <f>ROUND(AA88+AA131+AA165+AA213+AA238+AA276+AA297+AA315+AA346,5)</f>
        <v>3727952.8549000002</v>
      </c>
      <c r="AC347" s="34">
        <f>ROUND(AC88+AC131+AC165+AC213+AC238+AC276+AC297+AC315+AC346,5)</f>
        <v>3585253.9454999999</v>
      </c>
      <c r="AD347" s="34">
        <f>ROUND(AD88+AD131+AD165+AD213+AD238+AD276+AD297+AD315+AD346,5)</f>
        <v>5120685.67</v>
      </c>
      <c r="AE347" s="34">
        <f>ROUND(AE88+AE131+AE165+AE213+AE238+AE276+AE297+AE315+AE346,5)</f>
        <v>2632114.86</v>
      </c>
      <c r="AG347" s="34">
        <f>ROUND(AG88+AG131+AG165+AG213+AG238+AG276+AG297+AG315+AG346,5)</f>
        <v>-417439.19549999997</v>
      </c>
      <c r="AH347" s="34">
        <f>ROUND(AH88+AH131+AH165+AH213+AH238+AH276+AH297+AH315+AH346,5)</f>
        <v>-1943816.01</v>
      </c>
      <c r="AI347" s="34">
        <f>ROUND(AI88+AI131+AI165+AI213+AI238+AI276+AI297+AI315+AI346,5)</f>
        <v>567419.30000000005</v>
      </c>
      <c r="AK347" s="34">
        <f>ROUND(AK88+AK131+AK165+AK213+AK238+AK276+AK297+AK315+AK346,5)</f>
        <v>-36223.832170000001</v>
      </c>
      <c r="AL347" s="34">
        <f>ROUND(AL88+AL131+AL165+AL213+AL238+AL276+AL297+AL315+AL346,5)</f>
        <v>-1459870.96</v>
      </c>
      <c r="AM347" s="34">
        <f>ROUND(AM88+AM131+AM165+AM213+AM238+AM276+AM297+AM315+AM346,5)</f>
        <v>1065242.1399999999</v>
      </c>
    </row>
    <row r="348" spans="1:39" s="1" customFormat="1" ht="12" thickBot="1" x14ac:dyDescent="0.25">
      <c r="A348" s="26"/>
      <c r="B348" s="26" t="s">
        <v>349</v>
      </c>
      <c r="C348" s="26"/>
      <c r="D348" s="26"/>
      <c r="E348" s="26"/>
      <c r="F348" s="26"/>
      <c r="G348" s="26"/>
      <c r="H348" s="28"/>
      <c r="I348" s="34">
        <f>ROUND(I3+I86-I347,5)</f>
        <v>242451</v>
      </c>
      <c r="J348" s="28"/>
      <c r="K348" s="34">
        <f>ROUND(K3+K86-K347,5)</f>
        <v>275628</v>
      </c>
      <c r="L348" s="28"/>
      <c r="M348" s="34">
        <f>ROUND(M3+M86-M347,5)</f>
        <v>289186</v>
      </c>
      <c r="N348" s="28"/>
      <c r="O348" s="34">
        <f>ROUND(O3+O86-O347,5)</f>
        <v>276977.42</v>
      </c>
      <c r="P348" s="34"/>
      <c r="Q348" s="34">
        <f>ROUND(Q3+Q86-Q347,5)</f>
        <v>664983.30000000005</v>
      </c>
      <c r="R348" s="34"/>
      <c r="S348" s="15">
        <f>ROUND(S3+S86-S347,5)</f>
        <v>-112059.69</v>
      </c>
      <c r="T348" s="11"/>
      <c r="U348" s="11"/>
      <c r="V348" s="9"/>
      <c r="W348" s="15">
        <f>ROUND(W3+W86-W347,5)</f>
        <v>581916.68999999994</v>
      </c>
      <c r="X348" s="9"/>
      <c r="Y348" s="15">
        <f>ROUND(Y3+Y86-Y347,5)</f>
        <v>342</v>
      </c>
      <c r="AA348" s="15">
        <f>ROUND(AA3+AA86-AA347,5)</f>
        <v>1247.1451</v>
      </c>
      <c r="AC348" s="34">
        <f>ROUND(AC3+AC86-AC347,5)</f>
        <v>234836.82250000001</v>
      </c>
      <c r="AD348" s="34">
        <f>ROUND(AD3+AD86-AD347,5)</f>
        <v>-724367.18</v>
      </c>
      <c r="AE348" s="34">
        <f>ROUND(AE3+AE86-AE347,5)</f>
        <v>336079.37</v>
      </c>
      <c r="AG348" s="34">
        <f>ROUND(AG3+AG86-AG347,5)</f>
        <v>278791.14449999999</v>
      </c>
      <c r="AH348" s="34">
        <f>ROUND(AH3+AH86-AH347,5)</f>
        <v>1146799.8899999999</v>
      </c>
      <c r="AI348" s="34">
        <f>ROUND(AI3+AI86-AI347,5)</f>
        <v>54783.7</v>
      </c>
      <c r="AK348" s="34">
        <f>ROUND(AK3+AK86-AK347,5)</f>
        <v>-181276.16782999999</v>
      </c>
      <c r="AL348" s="34">
        <f>ROUND(AL3+AL86-AL347,5)</f>
        <v>1159870.96</v>
      </c>
      <c r="AM348" s="34">
        <f>ROUND(AM3+AM86-AM347,5)</f>
        <v>-1185242.1399999999</v>
      </c>
    </row>
    <row r="349" spans="1:39" s="28" customFormat="1" ht="12" thickBot="1" x14ac:dyDescent="0.25">
      <c r="A349" s="26" t="s">
        <v>350</v>
      </c>
      <c r="B349" s="26"/>
      <c r="C349" s="26"/>
      <c r="D349" s="26"/>
      <c r="E349" s="26"/>
      <c r="F349" s="26"/>
      <c r="G349" s="26"/>
      <c r="I349" s="43">
        <f>I348</f>
        <v>242451</v>
      </c>
      <c r="K349" s="43">
        <f>K348</f>
        <v>275628</v>
      </c>
      <c r="M349" s="43">
        <f>M348</f>
        <v>289186</v>
      </c>
      <c r="O349" s="43">
        <f>O348</f>
        <v>276977.42</v>
      </c>
      <c r="P349" s="43"/>
      <c r="Q349" s="43">
        <f>Q348</f>
        <v>664983.30000000005</v>
      </c>
      <c r="R349" s="43"/>
      <c r="S349" s="44">
        <f>S348</f>
        <v>-112059.69</v>
      </c>
      <c r="T349" s="11"/>
      <c r="U349" s="11"/>
      <c r="V349" s="9"/>
      <c r="W349" s="44">
        <f>W348</f>
        <v>581916.68999999994</v>
      </c>
      <c r="X349" s="9"/>
      <c r="Y349" s="44">
        <f>Y348</f>
        <v>342</v>
      </c>
      <c r="AA349" s="44">
        <f>AA348</f>
        <v>1247.1451</v>
      </c>
      <c r="AC349" s="43">
        <f t="shared" ref="AC349:AE349" si="179">AC348</f>
        <v>234836.82250000001</v>
      </c>
      <c r="AD349" s="43">
        <f t="shared" si="179"/>
        <v>-724367.18</v>
      </c>
      <c r="AE349" s="43">
        <f t="shared" si="179"/>
        <v>336079.37</v>
      </c>
      <c r="AG349" s="43">
        <f t="shared" ref="AG349:AI349" si="180">AG348</f>
        <v>278791.14449999999</v>
      </c>
      <c r="AH349" s="43">
        <f t="shared" si="180"/>
        <v>1146799.8899999999</v>
      </c>
      <c r="AI349" s="43">
        <f t="shared" si="180"/>
        <v>54783.7</v>
      </c>
      <c r="AK349" s="43">
        <f t="shared" ref="AK349:AM349" si="181">AK348</f>
        <v>-181276.16782999999</v>
      </c>
      <c r="AL349" s="43">
        <f t="shared" si="181"/>
        <v>1159870.96</v>
      </c>
      <c r="AM349" s="43">
        <f t="shared" si="181"/>
        <v>-1185242.1399999999</v>
      </c>
    </row>
    <row r="350" spans="1:39" s="1" customFormat="1" ht="12" thickTop="1" x14ac:dyDescent="0.2">
      <c r="A350" s="45"/>
      <c r="B350" s="45"/>
      <c r="C350" s="45"/>
      <c r="D350" s="45"/>
      <c r="E350" s="45"/>
      <c r="F350" s="45"/>
      <c r="G350" s="45"/>
      <c r="J350" s="28"/>
      <c r="S350" s="9"/>
      <c r="T350" s="9"/>
      <c r="U350" s="9"/>
      <c r="V350" s="9"/>
      <c r="W350" s="9"/>
      <c r="X350" s="9"/>
      <c r="Y350" s="9"/>
      <c r="AA350" s="9"/>
    </row>
    <row r="351" spans="1:39" x14ac:dyDescent="0.2">
      <c r="G351" s="45" t="s">
        <v>155</v>
      </c>
      <c r="Y351" s="47"/>
      <c r="AA351" s="47"/>
    </row>
    <row r="352" spans="1:39" x14ac:dyDescent="0.2">
      <c r="G352" s="19"/>
      <c r="Y352" s="47"/>
      <c r="AA352" s="47"/>
    </row>
    <row r="353" spans="25:27" x14ac:dyDescent="0.2">
      <c r="Y353" s="47"/>
      <c r="AA353" s="47"/>
    </row>
    <row r="354" spans="25:27" x14ac:dyDescent="0.2">
      <c r="Y354" s="47"/>
      <c r="AA354" s="47"/>
    </row>
  </sheetData>
  <mergeCells count="7">
    <mergeCell ref="AL1:AL2"/>
    <mergeCell ref="AM1:AM2"/>
    <mergeCell ref="AC1:AC2"/>
    <mergeCell ref="AG1:AG2"/>
    <mergeCell ref="AH1:AH2"/>
    <mergeCell ref="AI1:AI2"/>
    <mergeCell ref="AK1:AK2"/>
  </mergeCells>
  <pageMargins left="0.7" right="0.7" top="0.75" bottom="0.75" header="0.3" footer="0.3"/>
  <pageSetup paperSize="3" orientation="portrait" cellComments="atEnd" r:id="rId1"/>
  <ignoredErrors>
    <ignoredError sqref="AK176:AM176 AD223 AH223 AL223 AD176:AE176 AG176:AI176" formula="1"/>
  </ignoredError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2% Raise</vt:lpstr>
      <vt:lpstr>'2% Raise'!Print_Area</vt:lpstr>
      <vt:lpstr>'2% Raise'!Print_Titles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Sheena Gossett</dc:creator>
  <cp:lastModifiedBy>Ashleigh Hudson</cp:lastModifiedBy>
  <cp:lastPrinted>2021-03-03T13:21:39Z</cp:lastPrinted>
  <dcterms:created xsi:type="dcterms:W3CDTF">2020-12-29T14:55:20Z</dcterms:created>
  <dcterms:modified xsi:type="dcterms:W3CDTF">2021-03-04T18:25:40Z</dcterms:modified>
</cp:coreProperties>
</file>