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dson\Documents\"/>
    </mc:Choice>
  </mc:AlternateContent>
  <xr:revisionPtr revIDLastSave="0" documentId="8_{F299BD28-78FD-4B3C-959D-4944D49DCD92}" xr6:coauthVersionLast="47" xr6:coauthVersionMax="47" xr10:uidLastSave="{00000000-0000-0000-0000-000000000000}"/>
  <bookViews>
    <workbookView xWindow="-120" yWindow="480" windowWidth="21840" windowHeight="13140" xr2:uid="{00000000-000D-0000-FFFF-FFFF00000000}"/>
  </bookViews>
  <sheets>
    <sheet name="Monthly Financial Summary Rpt" sheetId="1" r:id="rId1"/>
  </sheets>
  <externalReferences>
    <externalReference r:id="rId2"/>
  </externalReferences>
  <definedNames>
    <definedName name="_xlnm.Print_Area" localSheetId="0">'Monthly Financial Summary Rpt'!$A$1:$P$69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4" i="1" l="1"/>
  <c r="P73" i="1"/>
  <c r="P72" i="1"/>
  <c r="P71" i="1"/>
  <c r="P56" i="1"/>
  <c r="E56" i="1"/>
  <c r="O75" i="1"/>
  <c r="O56" i="1"/>
  <c r="O54" i="1"/>
  <c r="N75" i="1"/>
  <c r="J75" i="1"/>
  <c r="I75" i="1"/>
  <c r="L56" i="1"/>
  <c r="K56" i="1"/>
  <c r="O72" i="1"/>
  <c r="O71" i="1"/>
  <c r="N71" i="1"/>
  <c r="N73" i="1" s="1"/>
  <c r="N72" i="1"/>
  <c r="O73" i="1" l="1"/>
  <c r="J73" i="1" l="1"/>
  <c r="I73" i="1"/>
  <c r="L73" i="1" s="1"/>
  <c r="K72" i="1"/>
  <c r="J72" i="1"/>
  <c r="L72" i="1" s="1"/>
  <c r="L71" i="1"/>
  <c r="K71" i="1"/>
  <c r="K73" i="1" s="1"/>
  <c r="J71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D73" i="1"/>
  <c r="E71" i="1"/>
  <c r="E72" i="1"/>
  <c r="E73" i="1"/>
  <c r="D72" i="1"/>
  <c r="D71" i="1"/>
  <c r="D56" i="1"/>
  <c r="E75" i="1"/>
  <c r="C75" i="1"/>
  <c r="B75" i="1"/>
  <c r="C73" i="1"/>
  <c r="C72" i="1"/>
  <c r="C71" i="1"/>
  <c r="B73" i="1"/>
  <c r="J50" i="1" l="1"/>
  <c r="J42" i="1"/>
  <c r="J37" i="1"/>
  <c r="J33" i="1"/>
  <c r="J26" i="1"/>
  <c r="J14" i="1"/>
  <c r="B14" i="1"/>
  <c r="C14" i="1"/>
  <c r="B9" i="1"/>
  <c r="C9" i="1"/>
  <c r="D14" i="1" l="1"/>
  <c r="D9" i="1"/>
  <c r="I61" i="1"/>
  <c r="I50" i="1"/>
  <c r="C50" i="1"/>
  <c r="B50" i="1"/>
  <c r="B49" i="1"/>
  <c r="C49" i="1"/>
  <c r="I49" i="1"/>
  <c r="I20" i="1"/>
  <c r="J65" i="1"/>
  <c r="J66" i="1" s="1"/>
  <c r="J61" i="1"/>
  <c r="N61" i="1" s="1"/>
  <c r="J60" i="1"/>
  <c r="J59" i="1"/>
  <c r="J62" i="1" l="1"/>
  <c r="E9" i="1"/>
  <c r="B42" i="1" l="1"/>
  <c r="B33" i="1"/>
  <c r="B23" i="1"/>
  <c r="B25" i="1"/>
  <c r="B26" i="1"/>
  <c r="B29" i="1"/>
  <c r="B30" i="1"/>
  <c r="B36" i="1"/>
  <c r="B37" i="1"/>
  <c r="B40" i="1"/>
  <c r="B45" i="1"/>
  <c r="B47" i="1"/>
  <c r="I23" i="1"/>
  <c r="I24" i="1"/>
  <c r="I25" i="1"/>
  <c r="I26" i="1"/>
  <c r="I29" i="1"/>
  <c r="I30" i="1"/>
  <c r="I31" i="1"/>
  <c r="L31" i="1" s="1"/>
  <c r="I32" i="1"/>
  <c r="I33" i="1"/>
  <c r="I36" i="1"/>
  <c r="I37" i="1"/>
  <c r="I40" i="1"/>
  <c r="I41" i="1"/>
  <c r="I42" i="1"/>
  <c r="I45" i="1"/>
  <c r="I47" i="1"/>
  <c r="N9" i="1" l="1"/>
  <c r="N65" i="1" s="1"/>
  <c r="N66" i="1" s="1"/>
  <c r="I9" i="1"/>
  <c r="L9" i="1" l="1"/>
  <c r="I65" i="1"/>
  <c r="I66" i="1" s="1"/>
  <c r="P9" i="1"/>
  <c r="O9" i="1"/>
  <c r="K9" i="1"/>
  <c r="J15" i="1" l="1"/>
  <c r="J17" i="1"/>
  <c r="J21" i="1"/>
  <c r="J27" i="1"/>
  <c r="J34" i="1"/>
  <c r="J38" i="1"/>
  <c r="J43" i="1"/>
  <c r="J51" i="1"/>
  <c r="J54" i="1" s="1"/>
  <c r="K50" i="1" l="1"/>
  <c r="K42" i="1"/>
  <c r="K41" i="1"/>
  <c r="K20" i="1"/>
  <c r="N47" i="1" l="1"/>
  <c r="N45" i="1"/>
  <c r="N14" i="1"/>
  <c r="N13" i="1"/>
  <c r="N10" i="1"/>
  <c r="N12" i="1"/>
  <c r="N11" i="1"/>
  <c r="N8" i="1"/>
  <c r="N7" i="1"/>
  <c r="N59" i="1" l="1"/>
  <c r="N60" i="1"/>
  <c r="I14" i="1"/>
  <c r="K14" i="1" s="1"/>
  <c r="N62" i="1" l="1"/>
  <c r="C30" i="1"/>
  <c r="C33" i="1"/>
  <c r="N50" i="1" l="1"/>
  <c r="N49" i="1"/>
  <c r="N42" i="1"/>
  <c r="N41" i="1"/>
  <c r="N40" i="1"/>
  <c r="N37" i="1"/>
  <c r="N36" i="1"/>
  <c r="N33" i="1"/>
  <c r="N32" i="1"/>
  <c r="N31" i="1"/>
  <c r="N30" i="1"/>
  <c r="N29" i="1"/>
  <c r="N26" i="1"/>
  <c r="N25" i="1"/>
  <c r="N24" i="1"/>
  <c r="N23" i="1"/>
  <c r="N20" i="1"/>
  <c r="N19" i="1"/>
  <c r="K49" i="1" l="1"/>
  <c r="K51" i="1" s="1"/>
  <c r="K47" i="1"/>
  <c r="C47" i="1"/>
  <c r="K45" i="1"/>
  <c r="C45" i="1"/>
  <c r="C42" i="1"/>
  <c r="L41" i="1"/>
  <c r="C41" i="1"/>
  <c r="B41" i="1"/>
  <c r="K40" i="1"/>
  <c r="K43" i="1" s="1"/>
  <c r="C40" i="1"/>
  <c r="K37" i="1"/>
  <c r="C37" i="1"/>
  <c r="K36" i="1"/>
  <c r="C36" i="1"/>
  <c r="K33" i="1"/>
  <c r="K32" i="1"/>
  <c r="C32" i="1"/>
  <c r="B32" i="1"/>
  <c r="K31" i="1"/>
  <c r="C31" i="1"/>
  <c r="B31" i="1"/>
  <c r="K30" i="1"/>
  <c r="K29" i="1"/>
  <c r="C29" i="1"/>
  <c r="K26" i="1"/>
  <c r="C26" i="1"/>
  <c r="K25" i="1"/>
  <c r="C25" i="1"/>
  <c r="C24" i="1"/>
  <c r="B24" i="1"/>
  <c r="K23" i="1"/>
  <c r="C23" i="1"/>
  <c r="C20" i="1"/>
  <c r="B20" i="1"/>
  <c r="I19" i="1"/>
  <c r="K19" i="1" s="1"/>
  <c r="K21" i="1" s="1"/>
  <c r="C19" i="1"/>
  <c r="B19" i="1"/>
  <c r="I13" i="1"/>
  <c r="K13" i="1" s="1"/>
  <c r="C13" i="1"/>
  <c r="B13" i="1"/>
  <c r="I10" i="1"/>
  <c r="C10" i="1"/>
  <c r="B10" i="1"/>
  <c r="I12" i="1"/>
  <c r="K12" i="1" s="1"/>
  <c r="C12" i="1"/>
  <c r="B12" i="1"/>
  <c r="I11" i="1"/>
  <c r="K11" i="1" s="1"/>
  <c r="C11" i="1"/>
  <c r="B11" i="1"/>
  <c r="I8" i="1"/>
  <c r="K8" i="1" s="1"/>
  <c r="C8" i="1"/>
  <c r="B8" i="1"/>
  <c r="I7" i="1"/>
  <c r="C7" i="1"/>
  <c r="B7" i="1"/>
  <c r="B5" i="1"/>
  <c r="B2" i="1"/>
  <c r="D75" i="1" l="1"/>
  <c r="K10" i="1"/>
  <c r="I60" i="1"/>
  <c r="K7" i="1"/>
  <c r="I59" i="1"/>
  <c r="K34" i="1"/>
  <c r="L24" i="1"/>
  <c r="K24" i="1"/>
  <c r="K27" i="1" s="1"/>
  <c r="K38" i="1"/>
  <c r="I51" i="1"/>
  <c r="D50" i="1"/>
  <c r="C51" i="1"/>
  <c r="B51" i="1"/>
  <c r="E49" i="1"/>
  <c r="D49" i="1"/>
  <c r="E47" i="1"/>
  <c r="D47" i="1"/>
  <c r="E45" i="1"/>
  <c r="D45" i="1"/>
  <c r="I43" i="1"/>
  <c r="C43" i="1"/>
  <c r="B43" i="1"/>
  <c r="D41" i="1"/>
  <c r="E40" i="1"/>
  <c r="D40" i="1"/>
  <c r="C38" i="1"/>
  <c r="B38" i="1"/>
  <c r="I38" i="1"/>
  <c r="E37" i="1"/>
  <c r="D37" i="1"/>
  <c r="E36" i="1"/>
  <c r="D36" i="1"/>
  <c r="C34" i="1"/>
  <c r="B34" i="1"/>
  <c r="I34" i="1"/>
  <c r="E33" i="1"/>
  <c r="D33" i="1"/>
  <c r="E32" i="1"/>
  <c r="D32" i="1"/>
  <c r="D31" i="1"/>
  <c r="E30" i="1"/>
  <c r="D30" i="1"/>
  <c r="E29" i="1"/>
  <c r="D29" i="1"/>
  <c r="I27" i="1"/>
  <c r="D26" i="1"/>
  <c r="C27" i="1"/>
  <c r="B27" i="1"/>
  <c r="E25" i="1"/>
  <c r="D25" i="1"/>
  <c r="D24" i="1"/>
  <c r="E23" i="1"/>
  <c r="D23" i="1"/>
  <c r="I21" i="1"/>
  <c r="C21" i="1"/>
  <c r="B21" i="1"/>
  <c r="E20" i="1"/>
  <c r="D20" i="1"/>
  <c r="E19" i="1"/>
  <c r="D19" i="1"/>
  <c r="I17" i="1"/>
  <c r="B17" i="1"/>
  <c r="I15" i="1"/>
  <c r="C15" i="1"/>
  <c r="B15" i="1"/>
  <c r="E13" i="1"/>
  <c r="D13" i="1"/>
  <c r="E10" i="1"/>
  <c r="D10" i="1"/>
  <c r="D12" i="1"/>
  <c r="D11" i="1"/>
  <c r="E8" i="1"/>
  <c r="D8" i="1"/>
  <c r="E7" i="1"/>
  <c r="D7" i="1"/>
  <c r="L75" i="1" l="1"/>
  <c r="K75" i="1"/>
  <c r="P75" i="1"/>
  <c r="C54" i="1"/>
  <c r="C56" i="1" s="1"/>
  <c r="B54" i="1"/>
  <c r="I54" i="1"/>
  <c r="I62" i="1"/>
  <c r="K15" i="1"/>
  <c r="E34" i="1"/>
  <c r="E38" i="1"/>
  <c r="E21" i="1"/>
  <c r="E27" i="1"/>
  <c r="D27" i="1"/>
  <c r="E15" i="1"/>
  <c r="D51" i="1"/>
  <c r="E51" i="1"/>
  <c r="E43" i="1"/>
  <c r="D43" i="1"/>
  <c r="D42" i="1"/>
  <c r="E42" i="1"/>
  <c r="E14" i="1"/>
  <c r="D34" i="1"/>
  <c r="D38" i="1"/>
  <c r="D21" i="1"/>
  <c r="E26" i="1"/>
  <c r="E50" i="1"/>
  <c r="D15" i="1"/>
  <c r="L49" i="1"/>
  <c r="L47" i="1"/>
  <c r="L45" i="1"/>
  <c r="L40" i="1"/>
  <c r="L36" i="1"/>
  <c r="L32" i="1"/>
  <c r="L30" i="1"/>
  <c r="L29" i="1"/>
  <c r="L25" i="1"/>
  <c r="L23" i="1"/>
  <c r="L21" i="1"/>
  <c r="L20" i="1"/>
  <c r="L19" i="1"/>
  <c r="L13" i="1"/>
  <c r="L10" i="1"/>
  <c r="L12" i="1"/>
  <c r="L11" i="1"/>
  <c r="L8" i="1"/>
  <c r="L7" i="1"/>
  <c r="I56" i="1" l="1"/>
  <c r="I69" i="1" s="1"/>
  <c r="E54" i="1"/>
  <c r="D54" i="1"/>
  <c r="B56" i="1"/>
  <c r="L14" i="1"/>
  <c r="L51" i="1"/>
  <c r="L38" i="1"/>
  <c r="L34" i="1"/>
  <c r="L43" i="1"/>
  <c r="L26" i="1"/>
  <c r="L33" i="1"/>
  <c r="L37" i="1"/>
  <c r="L42" i="1"/>
  <c r="L50" i="1"/>
  <c r="K54" i="1" l="1"/>
  <c r="L27" i="1"/>
  <c r="L15" i="1"/>
  <c r="J56" i="1" l="1"/>
  <c r="J69" i="1" s="1"/>
  <c r="L54" i="1"/>
  <c r="P41" i="1"/>
  <c r="P40" i="1"/>
  <c r="P24" i="1"/>
  <c r="P23" i="1"/>
  <c r="N51" i="1"/>
  <c r="N43" i="1"/>
  <c r="N38" i="1"/>
  <c r="N34" i="1"/>
  <c r="N27" i="1"/>
  <c r="N21" i="1"/>
  <c r="N17" i="1"/>
  <c r="N15" i="1"/>
  <c r="N54" i="1" l="1"/>
  <c r="N56" i="1" l="1"/>
  <c r="N69" i="1" s="1"/>
  <c r="P49" i="1"/>
  <c r="P47" i="1"/>
  <c r="P45" i="1"/>
  <c r="P36" i="1"/>
  <c r="P32" i="1"/>
  <c r="P31" i="1"/>
  <c r="P30" i="1"/>
  <c r="P29" i="1"/>
  <c r="P25" i="1"/>
  <c r="P20" i="1"/>
  <c r="P19" i="1"/>
  <c r="P10" i="1"/>
  <c r="P12" i="1"/>
  <c r="P11" i="1"/>
  <c r="P8" i="1"/>
  <c r="P7" i="1"/>
  <c r="O47" i="1"/>
  <c r="O45" i="1"/>
  <c r="O49" i="1"/>
  <c r="O41" i="1"/>
  <c r="O40" i="1"/>
  <c r="O36" i="1"/>
  <c r="O32" i="1"/>
  <c r="O31" i="1"/>
  <c r="O30" i="1"/>
  <c r="O29" i="1"/>
  <c r="O25" i="1"/>
  <c r="O24" i="1"/>
  <c r="O23" i="1"/>
  <c r="O20" i="1"/>
  <c r="O19" i="1"/>
  <c r="O10" i="1"/>
  <c r="O12" i="1"/>
  <c r="O11" i="1"/>
  <c r="O8" i="1"/>
  <c r="O7" i="1"/>
  <c r="O21" i="1" l="1"/>
  <c r="O14" i="1" l="1"/>
  <c r="P14" i="1"/>
  <c r="P51" i="1"/>
  <c r="P50" i="1"/>
  <c r="O50" i="1"/>
  <c r="O51" i="1" s="1"/>
  <c r="P42" i="1"/>
  <c r="O42" i="1"/>
  <c r="O43" i="1" s="1"/>
  <c r="P33" i="1"/>
  <c r="O33" i="1"/>
  <c r="O34" i="1" s="1"/>
  <c r="O26" i="1"/>
  <c r="O27" i="1" s="1"/>
  <c r="P26" i="1"/>
  <c r="P13" i="1"/>
  <c r="O13" i="1"/>
  <c r="O37" i="1"/>
  <c r="O38" i="1" s="1"/>
  <c r="P37" i="1"/>
  <c r="P34" i="1"/>
  <c r="P27" i="1"/>
  <c r="P21" i="1"/>
  <c r="P15" i="1"/>
  <c r="O15" i="1" l="1"/>
  <c r="P43" i="1"/>
  <c r="P38" i="1"/>
</calcChain>
</file>

<file path=xl/sharedStrings.xml><?xml version="1.0" encoding="utf-8"?>
<sst xmlns="http://schemas.openxmlformats.org/spreadsheetml/2006/main" count="80" uniqueCount="65">
  <si>
    <t>Budget</t>
  </si>
  <si>
    <t>$OverBud</t>
  </si>
  <si>
    <t>Transfer Tax</t>
  </si>
  <si>
    <t>Accommodation Tax</t>
  </si>
  <si>
    <t>Business Licenses</t>
  </si>
  <si>
    <t>Total Fines</t>
  </si>
  <si>
    <t>All Other Revenue</t>
  </si>
  <si>
    <t>Expenses</t>
  </si>
  <si>
    <t>Total Expense</t>
  </si>
  <si>
    <t xml:space="preserve"> </t>
  </si>
  <si>
    <t>% of Budget</t>
  </si>
  <si>
    <t>Building Permits</t>
  </si>
  <si>
    <t>Annual Budget</t>
  </si>
  <si>
    <t>Monthly</t>
  </si>
  <si>
    <t xml:space="preserve">Town Administrative Expenses </t>
  </si>
  <si>
    <t>Town Operating Expenses</t>
  </si>
  <si>
    <t>Admin Operating</t>
  </si>
  <si>
    <t>All Other Admin Expense</t>
  </si>
  <si>
    <t>Total Town Expenses</t>
  </si>
  <si>
    <t>Total Administration Expenses</t>
  </si>
  <si>
    <t>Total Police Expenses</t>
  </si>
  <si>
    <t>All Other Police Expenses</t>
  </si>
  <si>
    <t>All Other Maintenance Expenses</t>
  </si>
  <si>
    <t>Total Maintenance Expenses</t>
  </si>
  <si>
    <t>All Other Code Enforcement Expenses</t>
  </si>
  <si>
    <t>Total Code Enforcement Expenses</t>
  </si>
  <si>
    <t>Total Alderman Court Expenses</t>
  </si>
  <si>
    <t>All Other Lifeguard &amp; LSS Expense</t>
  </si>
  <si>
    <t>Total Lifeguard &amp; LSS Expenses</t>
  </si>
  <si>
    <t>Parking Permits &amp; Meters</t>
  </si>
  <si>
    <t>Police Operating</t>
  </si>
  <si>
    <t xml:space="preserve">YTD Revenues - Green if &gt; </t>
  </si>
  <si>
    <t>YTD Expenses - Red if &gt;</t>
  </si>
  <si>
    <t>YTD Budget</t>
  </si>
  <si>
    <t>% of Annual Budget</t>
  </si>
  <si>
    <t>Admin Employee Expenses</t>
  </si>
  <si>
    <t>Seasonal Admin Employee Expenses</t>
  </si>
  <si>
    <t>Police Employee Expenses</t>
  </si>
  <si>
    <t>Police Admin Employee Expenses</t>
  </si>
  <si>
    <t>Seasonal Police Employee Expenses</t>
  </si>
  <si>
    <t>Maintenance Employee Expenses</t>
  </si>
  <si>
    <t>Code Enforcement Employee Expenses</t>
  </si>
  <si>
    <t>Seasonal Code Employee Expenses</t>
  </si>
  <si>
    <t>Lifeguard Employee Expenses</t>
  </si>
  <si>
    <t>Set Asides:</t>
  </si>
  <si>
    <t>UNAUDITED</t>
  </si>
  <si>
    <t>Revenue</t>
  </si>
  <si>
    <t>Total Revenue</t>
  </si>
  <si>
    <t>Net Operations</t>
  </si>
  <si>
    <t>Hotel Tax</t>
  </si>
  <si>
    <t>Hotel Tax (50%)</t>
  </si>
  <si>
    <t>YTD FY 2022</t>
  </si>
  <si>
    <t>Annual FY22</t>
  </si>
  <si>
    <t>Transfer to Streets / Infrastructure</t>
  </si>
  <si>
    <t>3% Transfer Tax</t>
  </si>
  <si>
    <t>Total to Streets / Infrastructure</t>
  </si>
  <si>
    <t>Capital Improvements</t>
  </si>
  <si>
    <t>Total for Captial Improvements</t>
  </si>
  <si>
    <r>
      <t xml:space="preserve">Monthly Budget allocations for </t>
    </r>
    <r>
      <rPr>
        <b/>
        <sz val="9"/>
        <color rgb="FF33CC33"/>
        <rFont val="Arial"/>
        <family val="2"/>
      </rPr>
      <t>Revenue</t>
    </r>
    <r>
      <rPr>
        <sz val="9"/>
        <color theme="1"/>
        <rFont val="Arial"/>
        <family val="2"/>
      </rPr>
      <t xml:space="preserve"> &amp; </t>
    </r>
    <r>
      <rPr>
        <b/>
        <sz val="9"/>
        <color rgb="FFFF0000"/>
        <rFont val="Arial"/>
        <family val="2"/>
      </rPr>
      <t>Expenses</t>
    </r>
    <r>
      <rPr>
        <sz val="9"/>
        <color theme="1"/>
        <rFont val="Arial"/>
        <family val="2"/>
      </rPr>
      <t xml:space="preserve"> based on 5 year historical average of FY16-FY20</t>
    </r>
  </si>
  <si>
    <t>20% Building Permits</t>
  </si>
  <si>
    <t>5% Daily &amp; Seasonal Permits</t>
  </si>
  <si>
    <t>Total BuildingOfficial Expenses</t>
  </si>
  <si>
    <t>Net Income Before Set Aside Accounts</t>
  </si>
  <si>
    <t>Streets &amp; Infrastructure</t>
  </si>
  <si>
    <t>Net Income After Set Aside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</si>
</sst>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rgb="FF33CC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165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" fontId="4" fillId="0" borderId="1" xfId="0" applyNumberFormat="1" applyFont="1" applyBorder="1" applyAlignment="1">
      <alignment horizontal="center"/>
    </xf>
    <xf numFmtId="164" fontId="3" fillId="0" borderId="2" xfId="2" applyNumberFormat="1" applyFont="1" applyBorder="1"/>
    <xf numFmtId="9" fontId="3" fillId="0" borderId="0" xfId="1" applyFont="1" applyAlignment="1">
      <alignment horizontal="center"/>
    </xf>
    <xf numFmtId="164" fontId="4" fillId="2" borderId="2" xfId="2" applyNumberFormat="1" applyFont="1" applyFill="1" applyBorder="1"/>
    <xf numFmtId="0" fontId="4" fillId="2" borderId="0" xfId="0" applyFont="1" applyFill="1"/>
    <xf numFmtId="0" fontId="3" fillId="0" borderId="0" xfId="0" applyFont="1" applyAlignment="1">
      <alignment horizontal="center"/>
    </xf>
    <xf numFmtId="165" fontId="7" fillId="0" borderId="0" xfId="0" quotePrefix="1" applyNumberFormat="1" applyFont="1" applyAlignment="1">
      <alignment horizontal="center"/>
    </xf>
    <xf numFmtId="0" fontId="7" fillId="0" borderId="0" xfId="0" applyFont="1"/>
    <xf numFmtId="164" fontId="4" fillId="0" borderId="1" xfId="2" applyNumberFormat="1" applyFont="1" applyBorder="1"/>
    <xf numFmtId="9" fontId="4" fillId="0" borderId="0" xfId="1" applyFont="1" applyAlignment="1">
      <alignment horizontal="center"/>
    </xf>
    <xf numFmtId="164" fontId="4" fillId="3" borderId="2" xfId="2" applyNumberFormat="1" applyFont="1" applyFill="1" applyBorder="1"/>
    <xf numFmtId="0" fontId="8" fillId="0" borderId="0" xfId="0" applyFont="1"/>
    <xf numFmtId="164" fontId="8" fillId="0" borderId="0" xfId="2" applyNumberFormat="1" applyFont="1" applyFill="1"/>
    <xf numFmtId="0" fontId="8" fillId="0" borderId="0" xfId="0" applyFont="1" applyAlignment="1">
      <alignment wrapText="1"/>
    </xf>
    <xf numFmtId="164" fontId="8" fillId="0" borderId="0" xfId="2" applyNumberFormat="1" applyFont="1"/>
    <xf numFmtId="49" fontId="8" fillId="0" borderId="0" xfId="2" applyNumberFormat="1" applyFont="1" applyAlignment="1">
      <alignment wrapText="1"/>
    </xf>
    <xf numFmtId="164" fontId="2" fillId="0" borderId="0" xfId="2" applyNumberFormat="1" applyFont="1" applyFill="1"/>
    <xf numFmtId="0" fontId="4" fillId="0" borderId="0" xfId="0" applyFont="1" applyBorder="1" applyAlignment="1">
      <alignment horizontal="center" wrapText="1"/>
    </xf>
    <xf numFmtId="0" fontId="3" fillId="0" borderId="0" xfId="0" applyFont="1" applyBorder="1"/>
    <xf numFmtId="16" fontId="4" fillId="0" borderId="1" xfId="0" quotePrefix="1" applyNumberFormat="1" applyFont="1" applyBorder="1" applyAlignment="1">
      <alignment horizontal="center"/>
    </xf>
    <xf numFmtId="9" fontId="3" fillId="0" borderId="0" xfId="1" applyFont="1" applyBorder="1" applyAlignment="1">
      <alignment horizontal="center"/>
    </xf>
    <xf numFmtId="3" fontId="4" fillId="0" borderId="0" xfId="0" applyNumberFormat="1" applyFont="1" applyFill="1" applyBorder="1"/>
    <xf numFmtId="9" fontId="8" fillId="0" borderId="0" xfId="1" applyFont="1"/>
    <xf numFmtId="164" fontId="8" fillId="0" borderId="0" xfId="2" applyNumberFormat="1" applyFont="1" applyFill="1" applyAlignment="1">
      <alignment vertical="top"/>
    </xf>
    <xf numFmtId="0" fontId="8" fillId="4" borderId="0" xfId="0" applyFont="1" applyFill="1"/>
    <xf numFmtId="0" fontId="8" fillId="4" borderId="0" xfId="0" applyFont="1" applyFill="1" applyAlignment="1">
      <alignment wrapText="1"/>
    </xf>
    <xf numFmtId="164" fontId="8" fillId="4" borderId="0" xfId="2" applyNumberFormat="1" applyFont="1" applyFill="1"/>
    <xf numFmtId="164" fontId="8" fillId="4" borderId="0" xfId="0" applyNumberFormat="1" applyFont="1" applyFill="1"/>
    <xf numFmtId="164" fontId="2" fillId="0" borderId="0" xfId="0" applyNumberFormat="1" applyFont="1"/>
    <xf numFmtId="9" fontId="3" fillId="0" borderId="0" xfId="0" applyNumberFormat="1" applyFont="1"/>
    <xf numFmtId="164" fontId="3" fillId="0" borderId="0" xfId="0" applyNumberFormat="1" applyFont="1"/>
    <xf numFmtId="0" fontId="8" fillId="0" borderId="0" xfId="0" applyFont="1" applyAlignment="1"/>
    <xf numFmtId="0" fontId="8" fillId="4" borderId="0" xfId="0" applyFont="1" applyFill="1" applyAlignment="1"/>
    <xf numFmtId="49" fontId="8" fillId="0" borderId="0" xfId="2" applyNumberFormat="1" applyFont="1" applyAlignme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Y22%20Financials\9%20Dec\Financial%20Summary%20-%20Dec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Financial Summary Rpt"/>
    </sheetNames>
    <sheetDataSet>
      <sheetData sheetId="0">
        <row r="2">
          <cell r="B2" t="str">
            <v>General Fund Financial Overview: December 2021</v>
          </cell>
        </row>
        <row r="5">
          <cell r="B5">
            <v>44531</v>
          </cell>
        </row>
        <row r="7">
          <cell r="B7">
            <v>139756.88</v>
          </cell>
          <cell r="C7">
            <v>61800</v>
          </cell>
          <cell r="I7">
            <v>1387046.28</v>
          </cell>
          <cell r="J7">
            <v>770000</v>
          </cell>
        </row>
        <row r="8">
          <cell r="B8">
            <v>51633.01</v>
          </cell>
          <cell r="C8">
            <v>10493</v>
          </cell>
          <cell r="I8">
            <v>732167.45</v>
          </cell>
          <cell r="J8">
            <v>485000</v>
          </cell>
        </row>
        <row r="9">
          <cell r="B9">
            <v>6908.14</v>
          </cell>
          <cell r="C9">
            <v>3333</v>
          </cell>
          <cell r="I9">
            <v>191305.04</v>
          </cell>
          <cell r="J9">
            <v>100000</v>
          </cell>
        </row>
        <row r="10">
          <cell r="B10">
            <v>4072</v>
          </cell>
          <cell r="C10">
            <v>0</v>
          </cell>
          <cell r="I10">
            <v>110876</v>
          </cell>
          <cell r="J10">
            <v>333000</v>
          </cell>
        </row>
        <row r="11">
          <cell r="B11">
            <v>927.15</v>
          </cell>
          <cell r="C11">
            <v>0</v>
          </cell>
          <cell r="I11">
            <v>1409736.43</v>
          </cell>
          <cell r="J11">
            <v>1195000</v>
          </cell>
        </row>
        <row r="12">
          <cell r="B12">
            <v>274177.77</v>
          </cell>
          <cell r="C12">
            <v>25200</v>
          </cell>
          <cell r="I12">
            <v>641874.28</v>
          </cell>
          <cell r="J12">
            <v>300000</v>
          </cell>
        </row>
        <row r="13">
          <cell r="B13">
            <v>9753.16</v>
          </cell>
          <cell r="C13">
            <v>9402</v>
          </cell>
          <cell r="I13">
            <v>319993.69</v>
          </cell>
          <cell r="J13">
            <v>344900</v>
          </cell>
        </row>
        <row r="14">
          <cell r="B14">
            <v>47729.229999999981</v>
          </cell>
          <cell r="C14">
            <v>39917</v>
          </cell>
          <cell r="I14">
            <v>348189.87000000011</v>
          </cell>
          <cell r="J14">
            <v>321300</v>
          </cell>
        </row>
        <row r="19">
          <cell r="B19">
            <v>21985.66</v>
          </cell>
          <cell r="C19">
            <v>27865</v>
          </cell>
          <cell r="I19">
            <v>231367.35</v>
          </cell>
          <cell r="J19">
            <v>265650</v>
          </cell>
        </row>
        <row r="20">
          <cell r="B20">
            <v>40095.589999999997</v>
          </cell>
          <cell r="C20">
            <v>7425</v>
          </cell>
          <cell r="I20">
            <v>141099.39000000001</v>
          </cell>
          <cell r="J20">
            <v>87100</v>
          </cell>
        </row>
        <row r="23">
          <cell r="B23">
            <v>29108.5</v>
          </cell>
          <cell r="C23">
            <v>27727</v>
          </cell>
          <cell r="I23">
            <v>269185.76</v>
          </cell>
          <cell r="J23">
            <v>355610</v>
          </cell>
        </row>
        <row r="24">
          <cell r="B24">
            <v>725.04</v>
          </cell>
          <cell r="C24">
            <v>0</v>
          </cell>
          <cell r="I24">
            <v>10989.02</v>
          </cell>
          <cell r="J24">
            <v>20214</v>
          </cell>
        </row>
        <row r="25">
          <cell r="B25">
            <v>17060.13</v>
          </cell>
          <cell r="C25">
            <v>17174</v>
          </cell>
          <cell r="I25">
            <v>134982.45000000001</v>
          </cell>
          <cell r="J25">
            <v>206100</v>
          </cell>
        </row>
        <row r="26">
          <cell r="B26">
            <v>2025.5</v>
          </cell>
          <cell r="C26">
            <v>3134</v>
          </cell>
          <cell r="I26">
            <v>22814.599999999977</v>
          </cell>
          <cell r="J26">
            <v>38111</v>
          </cell>
        </row>
        <row r="29">
          <cell r="B29">
            <v>49070.9</v>
          </cell>
          <cell r="C29">
            <v>59635</v>
          </cell>
          <cell r="I29">
            <v>695221.88</v>
          </cell>
          <cell r="J29">
            <v>1074769</v>
          </cell>
        </row>
        <row r="30">
          <cell r="B30">
            <v>12767.21</v>
          </cell>
          <cell r="C30">
            <v>14716</v>
          </cell>
          <cell r="I30">
            <v>131192.51</v>
          </cell>
          <cell r="J30">
            <v>187922</v>
          </cell>
        </row>
        <row r="31">
          <cell r="B31">
            <v>4310.3100000000004</v>
          </cell>
          <cell r="C31"/>
          <cell r="I31">
            <v>181570.29</v>
          </cell>
          <cell r="J31">
            <v>198645</v>
          </cell>
        </row>
        <row r="32">
          <cell r="B32">
            <v>9270.51</v>
          </cell>
          <cell r="C32">
            <v>11709</v>
          </cell>
          <cell r="I32">
            <v>129500.01</v>
          </cell>
          <cell r="J32">
            <v>141500</v>
          </cell>
        </row>
        <row r="33">
          <cell r="B33">
            <v>5336.3500000000058</v>
          </cell>
          <cell r="C33">
            <v>5483</v>
          </cell>
          <cell r="I33">
            <v>67976.120000000112</v>
          </cell>
          <cell r="J33">
            <v>66289</v>
          </cell>
        </row>
        <row r="36">
          <cell r="B36">
            <v>8098.52</v>
          </cell>
          <cell r="C36">
            <v>6295</v>
          </cell>
          <cell r="I36">
            <v>78387.23</v>
          </cell>
          <cell r="J36">
            <v>81136</v>
          </cell>
        </row>
        <row r="37">
          <cell r="B37">
            <v>1172.9899999999998</v>
          </cell>
          <cell r="C37">
            <v>1410</v>
          </cell>
          <cell r="I37">
            <v>12850.589999999997</v>
          </cell>
          <cell r="J37">
            <v>16932</v>
          </cell>
        </row>
        <row r="40">
          <cell r="B40">
            <v>10480.61</v>
          </cell>
          <cell r="C40">
            <v>10112</v>
          </cell>
          <cell r="I40">
            <v>99558.13</v>
          </cell>
          <cell r="J40">
            <v>128856</v>
          </cell>
        </row>
        <row r="41">
          <cell r="B41">
            <v>485.91</v>
          </cell>
          <cell r="C41"/>
          <cell r="I41">
            <v>58533.77</v>
          </cell>
          <cell r="J41">
            <v>95022</v>
          </cell>
        </row>
        <row r="42">
          <cell r="B42">
            <v>4185.7900000000009</v>
          </cell>
          <cell r="C42">
            <v>2292</v>
          </cell>
          <cell r="I42">
            <v>25099.959999999992</v>
          </cell>
          <cell r="J42">
            <v>29700</v>
          </cell>
        </row>
        <row r="45">
          <cell r="B45">
            <v>5825.27</v>
          </cell>
          <cell r="C45">
            <v>5789</v>
          </cell>
          <cell r="I45">
            <v>52803.1</v>
          </cell>
          <cell r="J45">
            <v>74000</v>
          </cell>
        </row>
        <row r="47">
          <cell r="B47">
            <v>3087.2</v>
          </cell>
          <cell r="C47">
            <v>7618</v>
          </cell>
          <cell r="I47">
            <v>58332.14</v>
          </cell>
          <cell r="J47">
            <v>99256</v>
          </cell>
        </row>
        <row r="49">
          <cell r="B49">
            <v>1713.76</v>
          </cell>
          <cell r="C49">
            <v>1264</v>
          </cell>
          <cell r="I49">
            <v>361132.19</v>
          </cell>
          <cell r="J49">
            <v>410544</v>
          </cell>
        </row>
        <row r="50">
          <cell r="B50">
            <v>9294.25</v>
          </cell>
          <cell r="C50">
            <v>1944</v>
          </cell>
          <cell r="I50">
            <v>36939.409999999974</v>
          </cell>
          <cell r="J50">
            <v>30578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81"/>
  <sheetViews>
    <sheetView tabSelected="1" topLeftCell="A4" zoomScaleNormal="100" workbookViewId="0">
      <selection activeCell="P55" sqref="P55"/>
    </sheetView>
  </sheetViews>
  <sheetFormatPr defaultColWidth="15.7109375" defaultRowHeight="12" x14ac:dyDescent="0.2"/>
  <cols>
    <col min="1" max="1" width="1.7109375" style="2" customWidth="1"/>
    <col min="2" max="2" width="13" style="2" customWidth="1"/>
    <col min="3" max="3" width="10.7109375" style="2" bestFit="1" customWidth="1"/>
    <col min="4" max="4" width="12.85546875" style="3" bestFit="1" customWidth="1"/>
    <col min="5" max="5" width="8.42578125" style="2" bestFit="1" customWidth="1"/>
    <col min="6" max="6" width="1.7109375" style="2" customWidth="1"/>
    <col min="7" max="7" width="38" style="2" bestFit="1" customWidth="1"/>
    <col min="8" max="8" width="1.7109375" style="2" customWidth="1"/>
    <col min="9" max="9" width="14.140625" style="2" customWidth="1"/>
    <col min="10" max="10" width="14.7109375" style="2" bestFit="1" customWidth="1"/>
    <col min="11" max="11" width="14.28515625" style="3" bestFit="1" customWidth="1"/>
    <col min="12" max="12" width="10.7109375" style="2" bestFit="1" customWidth="1"/>
    <col min="13" max="13" width="2.7109375" style="2" customWidth="1"/>
    <col min="14" max="14" width="14.7109375" style="2" bestFit="1" customWidth="1"/>
    <col min="15" max="15" width="14.28515625" style="3" bestFit="1" customWidth="1"/>
    <col min="16" max="16" width="13.5703125" style="2" bestFit="1" customWidth="1"/>
    <col min="17" max="16384" width="15.7109375" style="2"/>
  </cols>
  <sheetData>
    <row r="2" spans="2:16" s="4" customFormat="1" x14ac:dyDescent="0.2">
      <c r="B2" s="50" t="str">
        <f>+'[1]Monthly Financial Summary Rpt'!$B$2</f>
        <v>General Fund Financial Overview: December 2021</v>
      </c>
      <c r="C2" s="50"/>
      <c r="D2" s="50"/>
      <c r="E2" s="50"/>
      <c r="F2" s="50"/>
      <c r="G2" s="50"/>
      <c r="H2" s="5"/>
      <c r="I2" s="49" t="s">
        <v>45</v>
      </c>
      <c r="J2" s="49"/>
      <c r="K2" s="49"/>
      <c r="L2" s="49"/>
      <c r="M2" s="49"/>
      <c r="N2" s="49"/>
      <c r="O2" s="49"/>
      <c r="P2" s="49"/>
    </row>
    <row r="3" spans="2:16" x14ac:dyDescent="0.2">
      <c r="B3" s="6"/>
    </row>
    <row r="4" spans="2:16" x14ac:dyDescent="0.2">
      <c r="B4" s="50" t="s">
        <v>13</v>
      </c>
      <c r="C4" s="50"/>
      <c r="D4" s="50"/>
      <c r="E4" s="50"/>
      <c r="I4" s="50" t="s">
        <v>52</v>
      </c>
      <c r="J4" s="50"/>
      <c r="K4" s="50"/>
      <c r="L4" s="50"/>
      <c r="M4" s="50"/>
      <c r="N4" s="50"/>
      <c r="O4" s="50"/>
      <c r="P4" s="50"/>
    </row>
    <row r="5" spans="2:16" s="4" customFormat="1" ht="24" x14ac:dyDescent="0.2">
      <c r="B5" s="7">
        <f>+'[1]Monthly Financial Summary Rpt'!$B$5</f>
        <v>44531</v>
      </c>
      <c r="C5" s="8" t="s">
        <v>0</v>
      </c>
      <c r="D5" s="9" t="s">
        <v>1</v>
      </c>
      <c r="E5" s="10" t="s">
        <v>10</v>
      </c>
      <c r="F5" s="11"/>
      <c r="G5" s="12" t="s">
        <v>46</v>
      </c>
      <c r="H5" s="11"/>
      <c r="I5" s="13" t="s">
        <v>51</v>
      </c>
      <c r="J5" s="10" t="s">
        <v>33</v>
      </c>
      <c r="K5" s="9" t="s">
        <v>1</v>
      </c>
      <c r="L5" s="10" t="s">
        <v>10</v>
      </c>
      <c r="M5" s="30"/>
      <c r="N5" s="10" t="s">
        <v>12</v>
      </c>
      <c r="O5" s="9" t="s">
        <v>1</v>
      </c>
      <c r="P5" s="10" t="s">
        <v>34</v>
      </c>
    </row>
    <row r="6" spans="2:16" x14ac:dyDescent="0.2">
      <c r="M6" s="31"/>
    </row>
    <row r="7" spans="2:16" x14ac:dyDescent="0.2">
      <c r="B7" s="14">
        <f>+'[1]Monthly Financial Summary Rpt'!$B7</f>
        <v>139756.88</v>
      </c>
      <c r="C7" s="14">
        <f>+'[1]Monthly Financial Summary Rpt'!$C7</f>
        <v>61800</v>
      </c>
      <c r="D7" s="14">
        <f>B7-C7</f>
        <v>77956.88</v>
      </c>
      <c r="E7" s="15">
        <f t="shared" ref="E7:E15" si="0">+B7/C7</f>
        <v>2.2614381877022653</v>
      </c>
      <c r="G7" s="2" t="s">
        <v>2</v>
      </c>
      <c r="H7" s="2" t="s">
        <v>9</v>
      </c>
      <c r="I7" s="14">
        <f>+'[1]Monthly Financial Summary Rpt'!$I7</f>
        <v>1387046.28</v>
      </c>
      <c r="J7" s="14">
        <v>585600</v>
      </c>
      <c r="K7" s="14">
        <f t="shared" ref="K7:K14" si="1">I7-J7</f>
        <v>801446.28</v>
      </c>
      <c r="L7" s="15">
        <f t="shared" ref="L7:L15" si="2">+I7/J7</f>
        <v>2.3685899590163935</v>
      </c>
      <c r="M7" s="15"/>
      <c r="N7" s="14">
        <f>+'[1]Monthly Financial Summary Rpt'!$J7</f>
        <v>770000</v>
      </c>
      <c r="O7" s="14">
        <f>I7-N7</f>
        <v>617046.28</v>
      </c>
      <c r="P7" s="15">
        <f t="shared" ref="P7:P15" si="3">+I7/N7</f>
        <v>1.8013588051948053</v>
      </c>
    </row>
    <row r="8" spans="2:16" x14ac:dyDescent="0.2">
      <c r="B8" s="14">
        <f>+'[1]Monthly Financial Summary Rpt'!$B8</f>
        <v>51633.01</v>
      </c>
      <c r="C8" s="14">
        <f>+'[1]Monthly Financial Summary Rpt'!$C8</f>
        <v>10493</v>
      </c>
      <c r="D8" s="14">
        <f t="shared" ref="D8:D13" si="4">B8-C8</f>
        <v>41140.01</v>
      </c>
      <c r="E8" s="15">
        <f t="shared" si="0"/>
        <v>4.9207099971409516</v>
      </c>
      <c r="G8" s="2" t="s">
        <v>3</v>
      </c>
      <c r="I8" s="14">
        <f>+'[1]Monthly Financial Summary Rpt'!$I8</f>
        <v>732167.45</v>
      </c>
      <c r="J8" s="14">
        <v>457394</v>
      </c>
      <c r="K8" s="14">
        <f t="shared" si="1"/>
        <v>274773.44999999995</v>
      </c>
      <c r="L8" s="15">
        <f t="shared" si="2"/>
        <v>1.6007368920449327</v>
      </c>
      <c r="M8" s="15"/>
      <c r="N8" s="14">
        <f>+'[1]Monthly Financial Summary Rpt'!$J8</f>
        <v>485000</v>
      </c>
      <c r="O8" s="14">
        <f t="shared" ref="O8:O14" si="5">I8-N8</f>
        <v>247167.44999999995</v>
      </c>
      <c r="P8" s="15">
        <f t="shared" si="3"/>
        <v>1.5096236082474226</v>
      </c>
    </row>
    <row r="9" spans="2:16" x14ac:dyDescent="0.2">
      <c r="B9" s="14">
        <f>+'[1]Monthly Financial Summary Rpt'!$B9</f>
        <v>6908.14</v>
      </c>
      <c r="C9" s="14">
        <f>+'[1]Monthly Financial Summary Rpt'!$C9</f>
        <v>3333</v>
      </c>
      <c r="D9" s="14">
        <f t="shared" ref="D9" si="6">B9-C9</f>
        <v>3575.1400000000003</v>
      </c>
      <c r="E9" s="15">
        <f t="shared" si="0"/>
        <v>2.0726492649264929</v>
      </c>
      <c r="G9" s="2" t="s">
        <v>49</v>
      </c>
      <c r="I9" s="14">
        <f>+'[1]Monthly Financial Summary Rpt'!$I9</f>
        <v>191305.04</v>
      </c>
      <c r="J9" s="14">
        <v>89999</v>
      </c>
      <c r="K9" s="14">
        <f t="shared" si="1"/>
        <v>101306.04000000001</v>
      </c>
      <c r="L9" s="15">
        <f t="shared" si="2"/>
        <v>2.1256351737241528</v>
      </c>
      <c r="M9" s="15"/>
      <c r="N9" s="14">
        <f>+'[1]Monthly Financial Summary Rpt'!$J9</f>
        <v>100000</v>
      </c>
      <c r="O9" s="14">
        <f t="shared" si="5"/>
        <v>91305.040000000008</v>
      </c>
      <c r="P9" s="15">
        <f t="shared" si="3"/>
        <v>1.9130504000000002</v>
      </c>
    </row>
    <row r="10" spans="2:16" x14ac:dyDescent="0.2">
      <c r="B10" s="14">
        <f>+'[1]Monthly Financial Summary Rpt'!$B12</f>
        <v>274177.77</v>
      </c>
      <c r="C10" s="14">
        <f>+'[1]Monthly Financial Summary Rpt'!$C12</f>
        <v>25200</v>
      </c>
      <c r="D10" s="14">
        <f>B10-C10</f>
        <v>248977.77000000002</v>
      </c>
      <c r="E10" s="15">
        <f>+B10/C10</f>
        <v>10.880070238095239</v>
      </c>
      <c r="G10" s="2" t="s">
        <v>11</v>
      </c>
      <c r="I10" s="14">
        <f>+'[1]Monthly Financial Summary Rpt'!$I12</f>
        <v>641874.28</v>
      </c>
      <c r="J10" s="14">
        <v>224400</v>
      </c>
      <c r="K10" s="14">
        <f>I10-J10</f>
        <v>417474.28</v>
      </c>
      <c r="L10" s="15">
        <f>+I10/J10</f>
        <v>2.8604023172905526</v>
      </c>
      <c r="M10" s="15"/>
      <c r="N10" s="14">
        <f>+'[1]Monthly Financial Summary Rpt'!$J12</f>
        <v>300000</v>
      </c>
      <c r="O10" s="14">
        <f>I10-N10</f>
        <v>341874.28</v>
      </c>
      <c r="P10" s="15">
        <f>+I10/N10</f>
        <v>2.1395809333333333</v>
      </c>
    </row>
    <row r="11" spans="2:16" x14ac:dyDescent="0.2">
      <c r="B11" s="14">
        <f>+'[1]Monthly Financial Summary Rpt'!$B10</f>
        <v>4072</v>
      </c>
      <c r="C11" s="14">
        <f>+'[1]Monthly Financial Summary Rpt'!$C10</f>
        <v>0</v>
      </c>
      <c r="D11" s="14">
        <f t="shared" si="4"/>
        <v>4072</v>
      </c>
      <c r="E11" s="15"/>
      <c r="G11" s="2" t="s">
        <v>4</v>
      </c>
      <c r="I11" s="14">
        <f>+'[1]Monthly Financial Summary Rpt'!$I10</f>
        <v>110876</v>
      </c>
      <c r="J11" s="14">
        <v>100525</v>
      </c>
      <c r="K11" s="14">
        <f t="shared" si="1"/>
        <v>10351</v>
      </c>
      <c r="L11" s="15">
        <f t="shared" si="2"/>
        <v>1.1029694105943795</v>
      </c>
      <c r="M11" s="15"/>
      <c r="N11" s="14">
        <f>+'[1]Monthly Financial Summary Rpt'!$J10</f>
        <v>333000</v>
      </c>
      <c r="O11" s="14">
        <f t="shared" si="5"/>
        <v>-222124</v>
      </c>
      <c r="P11" s="15">
        <f t="shared" si="3"/>
        <v>0.33296096096096095</v>
      </c>
    </row>
    <row r="12" spans="2:16" x14ac:dyDescent="0.2">
      <c r="B12" s="14">
        <f>+'[1]Monthly Financial Summary Rpt'!$B11</f>
        <v>927.15</v>
      </c>
      <c r="C12" s="14">
        <f>+'[1]Monthly Financial Summary Rpt'!$C11</f>
        <v>0</v>
      </c>
      <c r="D12" s="14">
        <f t="shared" si="4"/>
        <v>927.15</v>
      </c>
      <c r="E12" s="15"/>
      <c r="G12" s="2" t="s">
        <v>29</v>
      </c>
      <c r="I12" s="14">
        <f>+'[1]Monthly Financial Summary Rpt'!$I11</f>
        <v>1409736.43</v>
      </c>
      <c r="J12" s="14">
        <v>1195000</v>
      </c>
      <c r="K12" s="14">
        <f t="shared" si="1"/>
        <v>214736.42999999993</v>
      </c>
      <c r="L12" s="15">
        <f t="shared" si="2"/>
        <v>1.1796957573221756</v>
      </c>
      <c r="M12" s="15"/>
      <c r="N12" s="14">
        <f>+'[1]Monthly Financial Summary Rpt'!$J11</f>
        <v>1195000</v>
      </c>
      <c r="O12" s="14">
        <f t="shared" si="5"/>
        <v>214736.42999999993</v>
      </c>
      <c r="P12" s="15">
        <f t="shared" si="3"/>
        <v>1.1796957573221756</v>
      </c>
    </row>
    <row r="13" spans="2:16" x14ac:dyDescent="0.2">
      <c r="B13" s="14">
        <f>+'[1]Monthly Financial Summary Rpt'!$B13</f>
        <v>9753.16</v>
      </c>
      <c r="C13" s="14">
        <f>+'[1]Monthly Financial Summary Rpt'!$C13</f>
        <v>9402</v>
      </c>
      <c r="D13" s="14">
        <f t="shared" si="4"/>
        <v>351.15999999999985</v>
      </c>
      <c r="E13" s="15">
        <f t="shared" si="0"/>
        <v>1.0373495001063604</v>
      </c>
      <c r="G13" s="2" t="s">
        <v>5</v>
      </c>
      <c r="I13" s="14">
        <f>+'[1]Monthly Financial Summary Rpt'!$I13</f>
        <v>319993.69</v>
      </c>
      <c r="J13" s="14">
        <v>317206</v>
      </c>
      <c r="K13" s="14">
        <f t="shared" si="1"/>
        <v>2787.6900000000023</v>
      </c>
      <c r="L13" s="15">
        <f t="shared" si="2"/>
        <v>1.0087882637781127</v>
      </c>
      <c r="M13" s="15"/>
      <c r="N13" s="14">
        <f>+'[1]Monthly Financial Summary Rpt'!$J13</f>
        <v>344900</v>
      </c>
      <c r="O13" s="14">
        <f t="shared" si="5"/>
        <v>-24906.309999999998</v>
      </c>
      <c r="P13" s="15">
        <f t="shared" si="3"/>
        <v>0.9277868657581908</v>
      </c>
    </row>
    <row r="14" spans="2:16" x14ac:dyDescent="0.2">
      <c r="B14" s="14">
        <f>+'[1]Monthly Financial Summary Rpt'!$B14</f>
        <v>47729.229999999981</v>
      </c>
      <c r="C14" s="14">
        <f>+'[1]Monthly Financial Summary Rpt'!$C14</f>
        <v>39917</v>
      </c>
      <c r="D14" s="14">
        <f t="shared" ref="D14" si="7">B14-C14</f>
        <v>7812.2299999999814</v>
      </c>
      <c r="E14" s="15">
        <f t="shared" si="0"/>
        <v>1.1957118520930927</v>
      </c>
      <c r="G14" s="2" t="s">
        <v>6</v>
      </c>
      <c r="I14" s="14">
        <f>+'[1]Monthly Financial Summary Rpt'!$I14</f>
        <v>348189.87000000011</v>
      </c>
      <c r="J14" s="14">
        <f>3199423-2970124</f>
        <v>229299</v>
      </c>
      <c r="K14" s="14">
        <f t="shared" si="1"/>
        <v>118890.87000000011</v>
      </c>
      <c r="L14" s="15">
        <f t="shared" si="2"/>
        <v>1.5184971151204327</v>
      </c>
      <c r="M14" s="15"/>
      <c r="N14" s="14">
        <f>+'[1]Monthly Financial Summary Rpt'!$J14</f>
        <v>321300</v>
      </c>
      <c r="O14" s="14">
        <f t="shared" si="5"/>
        <v>26889.870000000112</v>
      </c>
      <c r="P14" s="15">
        <f t="shared" si="3"/>
        <v>1.0836908496732029</v>
      </c>
    </row>
    <row r="15" spans="2:16" x14ac:dyDescent="0.2">
      <c r="B15" s="16">
        <f>SUM(B7:B14)</f>
        <v>534957.34000000008</v>
      </c>
      <c r="C15" s="16">
        <f>SUM(C7:C14)</f>
        <v>150145</v>
      </c>
      <c r="D15" s="16">
        <f>SUM(D7:D14)</f>
        <v>384812.34</v>
      </c>
      <c r="E15" s="15">
        <f t="shared" si="0"/>
        <v>3.5629380931765966</v>
      </c>
      <c r="F15" s="4"/>
      <c r="G15" s="17" t="s">
        <v>47</v>
      </c>
      <c r="H15" s="4"/>
      <c r="I15" s="16">
        <f>SUM(I7:I14)</f>
        <v>5141189.04</v>
      </c>
      <c r="J15" s="16">
        <f>SUM(J7:J14)</f>
        <v>3199423</v>
      </c>
      <c r="K15" s="16">
        <f>SUM(K7:K14)</f>
        <v>1941766.04</v>
      </c>
      <c r="L15" s="15">
        <f t="shared" si="2"/>
        <v>1.6069113211976034</v>
      </c>
      <c r="M15" s="15"/>
      <c r="N15" s="16">
        <f>SUM(N7:N14)</f>
        <v>3849200</v>
      </c>
      <c r="O15" s="16">
        <f>SUM(O7:O14)</f>
        <v>1291989.04</v>
      </c>
      <c r="P15" s="15">
        <f t="shared" si="3"/>
        <v>1.3356513145588693</v>
      </c>
    </row>
    <row r="16" spans="2:16" x14ac:dyDescent="0.2">
      <c r="E16" s="15"/>
      <c r="L16" s="18"/>
      <c r="M16" s="18"/>
      <c r="P16" s="18"/>
    </row>
    <row r="17" spans="1:16" s="4" customFormat="1" ht="24" x14ac:dyDescent="0.2">
      <c r="B17" s="19">
        <f>+B5</f>
        <v>44531</v>
      </c>
      <c r="C17" s="20" t="s">
        <v>0</v>
      </c>
      <c r="D17" s="21" t="s">
        <v>1</v>
      </c>
      <c r="E17" s="22"/>
      <c r="G17" s="12" t="s">
        <v>7</v>
      </c>
      <c r="I17" s="32" t="str">
        <f>I5</f>
        <v>YTD FY 2022</v>
      </c>
      <c r="J17" s="10" t="str">
        <f>J5</f>
        <v>YTD Budget</v>
      </c>
      <c r="K17" s="9" t="s">
        <v>1</v>
      </c>
      <c r="L17" s="10" t="s">
        <v>10</v>
      </c>
      <c r="M17" s="30"/>
      <c r="N17" s="10" t="str">
        <f>N5</f>
        <v>Annual Budget</v>
      </c>
      <c r="O17" s="9" t="s">
        <v>1</v>
      </c>
      <c r="P17" s="10" t="s">
        <v>34</v>
      </c>
    </row>
    <row r="18" spans="1:16" x14ac:dyDescent="0.2">
      <c r="E18" s="15"/>
      <c r="L18" s="18"/>
      <c r="M18" s="18"/>
      <c r="P18" s="18"/>
    </row>
    <row r="19" spans="1:16" x14ac:dyDescent="0.2">
      <c r="B19" s="14">
        <f>+'[1]Monthly Financial Summary Rpt'!$B19</f>
        <v>21985.66</v>
      </c>
      <c r="C19" s="14">
        <f>+'[1]Monthly Financial Summary Rpt'!$C19</f>
        <v>27865</v>
      </c>
      <c r="D19" s="14">
        <f>B19-C19</f>
        <v>-5879.34</v>
      </c>
      <c r="E19" s="15">
        <f>+B19/C19</f>
        <v>0.78900628027992104</v>
      </c>
      <c r="G19" s="2" t="s">
        <v>14</v>
      </c>
      <c r="I19" s="14">
        <f>+'[1]Monthly Financial Summary Rpt'!$I19</f>
        <v>231367.35</v>
      </c>
      <c r="J19" s="14">
        <v>209054</v>
      </c>
      <c r="K19" s="14">
        <f>I19-J19</f>
        <v>22313.350000000006</v>
      </c>
      <c r="L19" s="15">
        <f>+I19/J19</f>
        <v>1.1067348627627311</v>
      </c>
      <c r="M19" s="15"/>
      <c r="N19" s="14">
        <f>+'[1]Monthly Financial Summary Rpt'!J19</f>
        <v>265650</v>
      </c>
      <c r="O19" s="14">
        <f>I19-N19</f>
        <v>-34282.649999999994</v>
      </c>
      <c r="P19" s="15">
        <f>+I19/N19</f>
        <v>0.87094805194805192</v>
      </c>
    </row>
    <row r="20" spans="1:16" x14ac:dyDescent="0.2">
      <c r="B20" s="14">
        <f>+'[1]Monthly Financial Summary Rpt'!$B20</f>
        <v>40095.589999999997</v>
      </c>
      <c r="C20" s="14">
        <f>+'[1]Monthly Financial Summary Rpt'!$C20</f>
        <v>7425</v>
      </c>
      <c r="D20" s="14">
        <f>B20-C20</f>
        <v>32670.589999999997</v>
      </c>
      <c r="E20" s="15">
        <f>+B20/C20</f>
        <v>5.4000794612794607</v>
      </c>
      <c r="G20" s="2" t="s">
        <v>15</v>
      </c>
      <c r="I20" s="14">
        <f>+'[1]Monthly Financial Summary Rpt'!$I20</f>
        <v>141099.39000000001</v>
      </c>
      <c r="J20" s="14">
        <v>65075</v>
      </c>
      <c r="K20" s="14">
        <f>I20-J20</f>
        <v>76024.390000000014</v>
      </c>
      <c r="L20" s="15">
        <f>+I20/J20</f>
        <v>2.1682580099884752</v>
      </c>
      <c r="M20" s="15"/>
      <c r="N20" s="14">
        <f>+'[1]Monthly Financial Summary Rpt'!J20</f>
        <v>87100</v>
      </c>
      <c r="O20" s="14">
        <f>I20-N20</f>
        <v>53999.390000000014</v>
      </c>
      <c r="P20" s="15">
        <f>+I20/N20</f>
        <v>1.6199700344431689</v>
      </c>
    </row>
    <row r="21" spans="1:16" s="4" customFormat="1" x14ac:dyDescent="0.2">
      <c r="B21" s="23">
        <f>SUM(B19:B20)</f>
        <v>62081.25</v>
      </c>
      <c r="C21" s="23">
        <f>SUM(C19:C20)</f>
        <v>35290</v>
      </c>
      <c r="D21" s="23">
        <f>+B21-C21</f>
        <v>26791.25</v>
      </c>
      <c r="E21" s="15">
        <f>+B21/C21</f>
        <v>1.7591739869651459</v>
      </c>
      <c r="G21" s="4" t="s">
        <v>18</v>
      </c>
      <c r="I21" s="23">
        <f>SUM(I19:I20)</f>
        <v>372466.74</v>
      </c>
      <c r="J21" s="23">
        <f>SUM(J19:J20)</f>
        <v>274129</v>
      </c>
      <c r="K21" s="23">
        <f>SUM(K19:K20)</f>
        <v>98337.74000000002</v>
      </c>
      <c r="L21" s="15">
        <f>+I21/J21</f>
        <v>1.3587279711376761</v>
      </c>
      <c r="M21" s="15"/>
      <c r="N21" s="23">
        <f>SUM(N19:N20)</f>
        <v>352750</v>
      </c>
      <c r="O21" s="23">
        <f>SUM(O19:O20)</f>
        <v>19716.74000000002</v>
      </c>
      <c r="P21" s="15">
        <f>+I21/N21</f>
        <v>1.0558943727852586</v>
      </c>
    </row>
    <row r="22" spans="1:16" x14ac:dyDescent="0.2">
      <c r="B22" s="3"/>
      <c r="C22" s="3"/>
      <c r="E22" s="15"/>
      <c r="I22" s="3"/>
      <c r="J22" s="3"/>
      <c r="L22" s="18"/>
      <c r="M22" s="18"/>
      <c r="N22" s="3"/>
      <c r="P22" s="18"/>
    </row>
    <row r="23" spans="1:16" x14ac:dyDescent="0.2">
      <c r="B23" s="14">
        <f>+'[1]Monthly Financial Summary Rpt'!$B23</f>
        <v>29108.5</v>
      </c>
      <c r="C23" s="14">
        <f>+'[1]Monthly Financial Summary Rpt'!$C23</f>
        <v>27727</v>
      </c>
      <c r="D23" s="14">
        <f>B23-C23</f>
        <v>1381.5</v>
      </c>
      <c r="E23" s="15">
        <f>+B23/C23</f>
        <v>1.0498250802466909</v>
      </c>
      <c r="G23" s="2" t="s">
        <v>35</v>
      </c>
      <c r="I23" s="14">
        <f>+'[1]Monthly Financial Summary Rpt'!$I23</f>
        <v>269185.76</v>
      </c>
      <c r="J23" s="14">
        <v>260984</v>
      </c>
      <c r="K23" s="14">
        <f>I23-J23</f>
        <v>8201.7600000000093</v>
      </c>
      <c r="L23" s="15">
        <f>+I23/J23</f>
        <v>1.0314262943322197</v>
      </c>
      <c r="M23" s="15"/>
      <c r="N23" s="14">
        <f>+'[1]Monthly Financial Summary Rpt'!J23</f>
        <v>355610</v>
      </c>
      <c r="O23" s="14">
        <f>I23-N23</f>
        <v>-86424.239999999991</v>
      </c>
      <c r="P23" s="15">
        <f>+I23/N23</f>
        <v>0.75696903911588542</v>
      </c>
    </row>
    <row r="24" spans="1:16" x14ac:dyDescent="0.2">
      <c r="B24" s="14">
        <f>+'[1]Monthly Financial Summary Rpt'!$B24</f>
        <v>725.04</v>
      </c>
      <c r="C24" s="14">
        <f>+'[1]Monthly Financial Summary Rpt'!$C24</f>
        <v>0</v>
      </c>
      <c r="D24" s="14">
        <f>B24-C24</f>
        <v>725.04</v>
      </c>
      <c r="E24" s="15">
        <v>0</v>
      </c>
      <c r="G24" s="2" t="s">
        <v>36</v>
      </c>
      <c r="I24" s="14">
        <f>+'[1]Monthly Financial Summary Rpt'!$I24</f>
        <v>10989.02</v>
      </c>
      <c r="J24" s="14">
        <v>20214</v>
      </c>
      <c r="K24" s="14">
        <f>I24-J24</f>
        <v>-9224.98</v>
      </c>
      <c r="L24" s="15">
        <f>+I24/J24</f>
        <v>0.54363411496982295</v>
      </c>
      <c r="M24" s="15"/>
      <c r="N24" s="14">
        <f>+'[1]Monthly Financial Summary Rpt'!J24</f>
        <v>20214</v>
      </c>
      <c r="O24" s="14">
        <f>I24-N24</f>
        <v>-9224.98</v>
      </c>
      <c r="P24" s="15">
        <f>+I24/N24</f>
        <v>0.54363411496982295</v>
      </c>
    </row>
    <row r="25" spans="1:16" x14ac:dyDescent="0.2">
      <c r="B25" s="14">
        <f>+'[1]Monthly Financial Summary Rpt'!$B25</f>
        <v>17060.13</v>
      </c>
      <c r="C25" s="14">
        <f>+'[1]Monthly Financial Summary Rpt'!$C25</f>
        <v>17174</v>
      </c>
      <c r="D25" s="14">
        <f>B25-C25</f>
        <v>-113.86999999999898</v>
      </c>
      <c r="E25" s="15">
        <f>+B25/C25</f>
        <v>0.99336962850821009</v>
      </c>
      <c r="G25" s="2" t="s">
        <v>16</v>
      </c>
      <c r="I25" s="14">
        <f>+'[1]Monthly Financial Summary Rpt'!$I25</f>
        <v>134982.45000000001</v>
      </c>
      <c r="J25" s="14">
        <v>154578</v>
      </c>
      <c r="K25" s="14">
        <f>I25-J25</f>
        <v>-19595.549999999988</v>
      </c>
      <c r="L25" s="15">
        <f>+I25/J25</f>
        <v>0.87323196056359909</v>
      </c>
      <c r="M25" s="15"/>
      <c r="N25" s="14">
        <f>+'[1]Monthly Financial Summary Rpt'!J25</f>
        <v>206100</v>
      </c>
      <c r="O25" s="14">
        <f>I25-N25</f>
        <v>-71117.549999999988</v>
      </c>
      <c r="P25" s="15">
        <f>+I25/N25</f>
        <v>0.65493668122270743</v>
      </c>
    </row>
    <row r="26" spans="1:16" x14ac:dyDescent="0.2">
      <c r="B26" s="14">
        <f>+'[1]Monthly Financial Summary Rpt'!$B26</f>
        <v>2025.5</v>
      </c>
      <c r="C26" s="14">
        <f>+'[1]Monthly Financial Summary Rpt'!$C26</f>
        <v>3134</v>
      </c>
      <c r="D26" s="14">
        <f>B26-C26</f>
        <v>-1108.5</v>
      </c>
      <c r="E26" s="15">
        <f>+B26/C26</f>
        <v>0.64629865985960433</v>
      </c>
      <c r="G26" s="2" t="s">
        <v>17</v>
      </c>
      <c r="I26" s="14">
        <f>+'[1]Monthly Financial Summary Rpt'!$I26</f>
        <v>22814.599999999977</v>
      </c>
      <c r="J26" s="14">
        <f>464482-435776</f>
        <v>28706</v>
      </c>
      <c r="K26" s="14">
        <f>I26-J26</f>
        <v>-5891.4000000000233</v>
      </c>
      <c r="L26" s="15">
        <f>+I26/J26</f>
        <v>0.79476764439489922</v>
      </c>
      <c r="M26" s="15"/>
      <c r="N26" s="14">
        <f>+'[1]Monthly Financial Summary Rpt'!J26</f>
        <v>38111</v>
      </c>
      <c r="O26" s="14">
        <f>I26-N26</f>
        <v>-15296.400000000023</v>
      </c>
      <c r="P26" s="15">
        <f>+I26/N26</f>
        <v>0.59863556453517297</v>
      </c>
    </row>
    <row r="27" spans="1:16" s="4" customFormat="1" x14ac:dyDescent="0.2">
      <c r="B27" s="23">
        <f>SUM(B23:B26)</f>
        <v>48919.17</v>
      </c>
      <c r="C27" s="23">
        <f>SUM(C23:C26)</f>
        <v>48035</v>
      </c>
      <c r="D27" s="23">
        <f>+B27-C27</f>
        <v>884.16999999999825</v>
      </c>
      <c r="E27" s="15">
        <f>+B27/C27</f>
        <v>1.018406786718018</v>
      </c>
      <c r="G27" s="4" t="s">
        <v>19</v>
      </c>
      <c r="I27" s="23">
        <f>SUM(I23:I26)</f>
        <v>437971.83</v>
      </c>
      <c r="J27" s="23">
        <f>SUM(J23:J26)</f>
        <v>464482</v>
      </c>
      <c r="K27" s="23">
        <f>SUM(K23:K26)</f>
        <v>-26510.170000000002</v>
      </c>
      <c r="L27" s="15">
        <f>+I27/J27</f>
        <v>0.94292530173397471</v>
      </c>
      <c r="M27" s="15"/>
      <c r="N27" s="23">
        <f>SUM(N23:N26)</f>
        <v>620035</v>
      </c>
      <c r="O27" s="23">
        <f>SUM(O23:O26)</f>
        <v>-182063.16999999998</v>
      </c>
      <c r="P27" s="15">
        <f>+I27/N27</f>
        <v>0.70636630190231198</v>
      </c>
    </row>
    <row r="28" spans="1:16" x14ac:dyDescent="0.2">
      <c r="B28" s="3"/>
      <c r="C28" s="3"/>
      <c r="E28" s="15"/>
      <c r="I28" s="3"/>
      <c r="J28" s="3"/>
      <c r="L28" s="18"/>
      <c r="M28" s="18"/>
      <c r="N28" s="3"/>
      <c r="P28" s="18"/>
    </row>
    <row r="29" spans="1:16" x14ac:dyDescent="0.2">
      <c r="A29" s="2" t="s">
        <v>9</v>
      </c>
      <c r="B29" s="14">
        <f>+'[1]Monthly Financial Summary Rpt'!$B29</f>
        <v>49070.9</v>
      </c>
      <c r="C29" s="14">
        <f>+'[1]Monthly Financial Summary Rpt'!$C29</f>
        <v>59635</v>
      </c>
      <c r="D29" s="14">
        <f>B29-C29</f>
        <v>-10564.099999999999</v>
      </c>
      <c r="E29" s="15">
        <f>+B29/C29</f>
        <v>0.82285402867443613</v>
      </c>
      <c r="G29" s="2" t="s">
        <v>37</v>
      </c>
      <c r="I29" s="14">
        <f>+'[1]Monthly Financial Summary Rpt'!$I29</f>
        <v>695221.88</v>
      </c>
      <c r="J29" s="14">
        <v>731284</v>
      </c>
      <c r="K29" s="14">
        <f>I29-J29</f>
        <v>-36062.119999999995</v>
      </c>
      <c r="L29" s="15">
        <f t="shared" ref="L29:L34" si="8">+I29/J29</f>
        <v>0.95068657320548511</v>
      </c>
      <c r="M29" s="15"/>
      <c r="N29" s="14">
        <f>+'[1]Monthly Financial Summary Rpt'!J29</f>
        <v>1074769</v>
      </c>
      <c r="O29" s="14">
        <f>I29-N29</f>
        <v>-379547.12</v>
      </c>
      <c r="P29" s="15">
        <f t="shared" ref="P29:P34" si="9">+I29/N29</f>
        <v>0.646857026951838</v>
      </c>
    </row>
    <row r="30" spans="1:16" x14ac:dyDescent="0.2">
      <c r="B30" s="14">
        <f>+'[1]Monthly Financial Summary Rpt'!$B30</f>
        <v>12767.21</v>
      </c>
      <c r="C30" s="14">
        <f>+'[1]Monthly Financial Summary Rpt'!$C30</f>
        <v>14716</v>
      </c>
      <c r="D30" s="14">
        <f>B30-C30</f>
        <v>-1948.7900000000009</v>
      </c>
      <c r="E30" s="15">
        <f>+B30/C30</f>
        <v>0.86757338950801843</v>
      </c>
      <c r="G30" s="2" t="s">
        <v>38</v>
      </c>
      <c r="I30" s="14">
        <f>+'[1]Monthly Financial Summary Rpt'!$I30</f>
        <v>131192.51</v>
      </c>
      <c r="J30" s="14">
        <v>138105</v>
      </c>
      <c r="K30" s="14">
        <f>I30-J30</f>
        <v>-6912.4899999999907</v>
      </c>
      <c r="L30" s="15">
        <f t="shared" si="8"/>
        <v>0.94994757611961922</v>
      </c>
      <c r="M30" s="15"/>
      <c r="N30" s="14">
        <f>+'[1]Monthly Financial Summary Rpt'!J30</f>
        <v>187922</v>
      </c>
      <c r="O30" s="14">
        <f>I30-N30</f>
        <v>-56729.489999999991</v>
      </c>
      <c r="P30" s="15">
        <f t="shared" si="9"/>
        <v>0.69812214642245196</v>
      </c>
    </row>
    <row r="31" spans="1:16" x14ac:dyDescent="0.2">
      <c r="B31" s="14">
        <f>+'[1]Monthly Financial Summary Rpt'!$B31</f>
        <v>4310.3100000000004</v>
      </c>
      <c r="C31" s="14">
        <f>+'[1]Monthly Financial Summary Rpt'!$C31</f>
        <v>0</v>
      </c>
      <c r="D31" s="14">
        <f>B31-C31</f>
        <v>4310.3100000000004</v>
      </c>
      <c r="E31" s="15">
        <v>0</v>
      </c>
      <c r="G31" s="2" t="s">
        <v>39</v>
      </c>
      <c r="I31" s="14">
        <f>+'[1]Monthly Financial Summary Rpt'!$I31</f>
        <v>181570.29</v>
      </c>
      <c r="J31" s="14">
        <v>198645</v>
      </c>
      <c r="K31" s="14">
        <f>I31-J31</f>
        <v>-17074.709999999992</v>
      </c>
      <c r="L31" s="15">
        <f t="shared" si="8"/>
        <v>0.91404409876916115</v>
      </c>
      <c r="M31" s="15"/>
      <c r="N31" s="14">
        <f>+'[1]Monthly Financial Summary Rpt'!J31</f>
        <v>198645</v>
      </c>
      <c r="O31" s="14">
        <f>I31-N31</f>
        <v>-17074.709999999992</v>
      </c>
      <c r="P31" s="15">
        <f t="shared" si="9"/>
        <v>0.91404409876916115</v>
      </c>
    </row>
    <row r="32" spans="1:16" x14ac:dyDescent="0.2">
      <c r="B32" s="14">
        <f>+'[1]Monthly Financial Summary Rpt'!$B32</f>
        <v>9270.51</v>
      </c>
      <c r="C32" s="14">
        <f>+'[1]Monthly Financial Summary Rpt'!$C32</f>
        <v>11709</v>
      </c>
      <c r="D32" s="14">
        <f>B32-C32</f>
        <v>-2438.4899999999998</v>
      </c>
      <c r="E32" s="15">
        <f>+B32/C32</f>
        <v>0.79174224955162698</v>
      </c>
      <c r="G32" s="2" t="s">
        <v>30</v>
      </c>
      <c r="I32" s="14">
        <f>+'[1]Monthly Financial Summary Rpt'!$I32</f>
        <v>129500.01</v>
      </c>
      <c r="J32" s="14">
        <v>105373</v>
      </c>
      <c r="K32" s="14">
        <f>I32-J32</f>
        <v>24127.009999999995</v>
      </c>
      <c r="L32" s="15">
        <f t="shared" si="8"/>
        <v>1.2289676672392358</v>
      </c>
      <c r="M32" s="15"/>
      <c r="N32" s="14">
        <f>+'[1]Monthly Financial Summary Rpt'!J32</f>
        <v>141500</v>
      </c>
      <c r="O32" s="14">
        <f>I32-N32</f>
        <v>-11999.990000000005</v>
      </c>
      <c r="P32" s="15">
        <f t="shared" si="9"/>
        <v>0.91519441696113069</v>
      </c>
    </row>
    <row r="33" spans="2:16" x14ac:dyDescent="0.2">
      <c r="B33" s="14">
        <f>+'[1]Monthly Financial Summary Rpt'!$B33</f>
        <v>5336.3500000000058</v>
      </c>
      <c r="C33" s="14">
        <f>+'[1]Monthly Financial Summary Rpt'!$C33</f>
        <v>5483</v>
      </c>
      <c r="D33" s="14">
        <f>B33-C33</f>
        <v>-146.64999999999418</v>
      </c>
      <c r="E33" s="15">
        <f>+B33/C33</f>
        <v>0.97325369323363231</v>
      </c>
      <c r="G33" s="2" t="s">
        <v>21</v>
      </c>
      <c r="I33" s="14">
        <f>+'[1]Monthly Financial Summary Rpt'!$I33</f>
        <v>67976.120000000112</v>
      </c>
      <c r="J33" s="14">
        <f>1223250-1173407</f>
        <v>49843</v>
      </c>
      <c r="K33" s="14">
        <f>I33-J33</f>
        <v>18133.120000000112</v>
      </c>
      <c r="L33" s="15">
        <f t="shared" si="8"/>
        <v>1.3638047469052847</v>
      </c>
      <c r="M33" s="15"/>
      <c r="N33" s="14">
        <f>+'[1]Monthly Financial Summary Rpt'!J33</f>
        <v>66289</v>
      </c>
      <c r="O33" s="14">
        <f>I33-N33</f>
        <v>1687.1200000001118</v>
      </c>
      <c r="P33" s="15">
        <f t="shared" si="9"/>
        <v>1.025450979800572</v>
      </c>
    </row>
    <row r="34" spans="2:16" s="4" customFormat="1" x14ac:dyDescent="0.2">
      <c r="B34" s="23">
        <f>SUM(B29:B33)</f>
        <v>80755.28</v>
      </c>
      <c r="C34" s="23">
        <f>SUM(C29:C33)</f>
        <v>91543</v>
      </c>
      <c r="D34" s="23">
        <f>+B34-C34</f>
        <v>-10787.720000000001</v>
      </c>
      <c r="E34" s="15">
        <f>+B34/C34</f>
        <v>0.88215680062921253</v>
      </c>
      <c r="G34" s="4" t="s">
        <v>20</v>
      </c>
      <c r="I34" s="23">
        <f>SUM(I29:I33)</f>
        <v>1205460.81</v>
      </c>
      <c r="J34" s="23">
        <f>SUM(J29:J33)</f>
        <v>1223250</v>
      </c>
      <c r="K34" s="23">
        <f>SUM(K29:K33)</f>
        <v>-17789.189999999871</v>
      </c>
      <c r="L34" s="15">
        <f t="shared" si="8"/>
        <v>0.98545743715511958</v>
      </c>
      <c r="M34" s="15"/>
      <c r="N34" s="23">
        <f>SUM(N29:N33)</f>
        <v>1669125</v>
      </c>
      <c r="O34" s="23">
        <f>SUM(O29:O33)</f>
        <v>-463664.18999999983</v>
      </c>
      <c r="P34" s="15">
        <f t="shared" si="9"/>
        <v>0.72221122444394525</v>
      </c>
    </row>
    <row r="35" spans="2:16" x14ac:dyDescent="0.2">
      <c r="B35" s="3"/>
      <c r="C35" s="3"/>
      <c r="E35" s="15"/>
      <c r="I35" s="3"/>
      <c r="J35" s="3"/>
      <c r="L35" s="18"/>
      <c r="M35" s="18"/>
      <c r="N35" s="3"/>
      <c r="P35" s="18"/>
    </row>
    <row r="36" spans="2:16" x14ac:dyDescent="0.2">
      <c r="B36" s="14">
        <f>+'[1]Monthly Financial Summary Rpt'!$B36</f>
        <v>8098.52</v>
      </c>
      <c r="C36" s="14">
        <f>+'[1]Monthly Financial Summary Rpt'!$C36</f>
        <v>6295</v>
      </c>
      <c r="D36" s="14">
        <f>B36-C36</f>
        <v>1803.5200000000004</v>
      </c>
      <c r="E36" s="15">
        <f>+B36/C36</f>
        <v>1.2865003971405879</v>
      </c>
      <c r="G36" s="2" t="s">
        <v>40</v>
      </c>
      <c r="I36" s="14">
        <f>+'[1]Monthly Financial Summary Rpt'!$I36</f>
        <v>78387.23</v>
      </c>
      <c r="J36" s="14">
        <v>59455</v>
      </c>
      <c r="K36" s="14">
        <f>I36-J36</f>
        <v>18932.229999999996</v>
      </c>
      <c r="L36" s="15">
        <f>+I36/J36</f>
        <v>1.3184295685812799</v>
      </c>
      <c r="M36" s="15"/>
      <c r="N36" s="14">
        <f>+'[1]Monthly Financial Summary Rpt'!J36</f>
        <v>81136</v>
      </c>
      <c r="O36" s="14">
        <f>I36-N36</f>
        <v>-2748.7700000000041</v>
      </c>
      <c r="P36" s="15">
        <f>+I36/N36</f>
        <v>0.96612145040425945</v>
      </c>
    </row>
    <row r="37" spans="2:16" x14ac:dyDescent="0.2">
      <c r="B37" s="14">
        <f>+'[1]Monthly Financial Summary Rpt'!$B37</f>
        <v>1172.9899999999998</v>
      </c>
      <c r="C37" s="14">
        <f>+'[1]Monthly Financial Summary Rpt'!$C37</f>
        <v>1410</v>
      </c>
      <c r="D37" s="14">
        <f>B37-C37</f>
        <v>-237.01000000000022</v>
      </c>
      <c r="E37" s="15">
        <f>+B37/C37</f>
        <v>0.83190780141843956</v>
      </c>
      <c r="G37" s="2" t="s">
        <v>22</v>
      </c>
      <c r="I37" s="14">
        <f>+'[1]Monthly Financial Summary Rpt'!$I37</f>
        <v>12850.589999999997</v>
      </c>
      <c r="J37" s="14">
        <f>72153-59455</f>
        <v>12698</v>
      </c>
      <c r="K37" s="14">
        <f>I37-J37</f>
        <v>152.58999999999651</v>
      </c>
      <c r="L37" s="15">
        <f>+I37/J37</f>
        <v>1.0120168530477238</v>
      </c>
      <c r="M37" s="15"/>
      <c r="N37" s="14">
        <f>+'[1]Monthly Financial Summary Rpt'!J37</f>
        <v>16932</v>
      </c>
      <c r="O37" s="14">
        <f>I37-N37</f>
        <v>-4081.4100000000035</v>
      </c>
      <c r="P37" s="15">
        <f>+I37/N37</f>
        <v>0.75895287030474823</v>
      </c>
    </row>
    <row r="38" spans="2:16" s="4" customFormat="1" x14ac:dyDescent="0.2">
      <c r="B38" s="23">
        <f>B37+B36</f>
        <v>9271.51</v>
      </c>
      <c r="C38" s="23">
        <f>C37+C36</f>
        <v>7705</v>
      </c>
      <c r="D38" s="23">
        <f>+B38-C38</f>
        <v>1566.5100000000002</v>
      </c>
      <c r="E38" s="15">
        <f>+B38/C38</f>
        <v>1.203310837118754</v>
      </c>
      <c r="G38" s="4" t="s">
        <v>23</v>
      </c>
      <c r="I38" s="23">
        <f>I37+I36</f>
        <v>91237.819999999992</v>
      </c>
      <c r="J38" s="23">
        <f>J37+J36</f>
        <v>72153</v>
      </c>
      <c r="K38" s="23">
        <f>K37+K36</f>
        <v>19084.819999999992</v>
      </c>
      <c r="L38" s="15">
        <f>+I38/J38</f>
        <v>1.2645048715923106</v>
      </c>
      <c r="M38" s="15"/>
      <c r="N38" s="23">
        <f>N37+N36</f>
        <v>98068</v>
      </c>
      <c r="O38" s="23">
        <f>O37+O36</f>
        <v>-6830.1800000000076</v>
      </c>
      <c r="P38" s="15">
        <f>+I38/N38</f>
        <v>0.93035261247297785</v>
      </c>
    </row>
    <row r="39" spans="2:16" x14ac:dyDescent="0.2">
      <c r="B39" s="3"/>
      <c r="C39" s="3"/>
      <c r="E39" s="15"/>
      <c r="I39" s="3"/>
      <c r="J39" s="3"/>
      <c r="L39" s="18"/>
      <c r="M39" s="18"/>
      <c r="N39" s="3"/>
      <c r="P39" s="18"/>
    </row>
    <row r="40" spans="2:16" x14ac:dyDescent="0.2">
      <c r="B40" s="14">
        <f>+'[1]Monthly Financial Summary Rpt'!$B40</f>
        <v>10480.61</v>
      </c>
      <c r="C40" s="14">
        <f>+'[1]Monthly Financial Summary Rpt'!$C40</f>
        <v>10112</v>
      </c>
      <c r="D40" s="14">
        <f>B40-C40</f>
        <v>368.61000000000058</v>
      </c>
      <c r="E40" s="15">
        <f>+B40/C40</f>
        <v>1.0364527294303798</v>
      </c>
      <c r="G40" s="2" t="s">
        <v>41</v>
      </c>
      <c r="I40" s="14">
        <f>+'[1]Monthly Financial Summary Rpt'!$I40</f>
        <v>99558.13</v>
      </c>
      <c r="J40" s="14">
        <v>94762</v>
      </c>
      <c r="K40" s="14">
        <f>I40-J40</f>
        <v>4796.1300000000047</v>
      </c>
      <c r="L40" s="15">
        <f>+I40/J40</f>
        <v>1.0506123762689685</v>
      </c>
      <c r="M40" s="15"/>
      <c r="N40" s="14">
        <f>+'[1]Monthly Financial Summary Rpt'!J40</f>
        <v>128856</v>
      </c>
      <c r="O40" s="14">
        <f>I40-N40</f>
        <v>-29297.869999999995</v>
      </c>
      <c r="P40" s="15">
        <f>+I40/N40</f>
        <v>0.77263092133854849</v>
      </c>
    </row>
    <row r="41" spans="2:16" x14ac:dyDescent="0.2">
      <c r="B41" s="14">
        <f>+'[1]Monthly Financial Summary Rpt'!$B41</f>
        <v>485.91</v>
      </c>
      <c r="C41" s="14">
        <f>+'[1]Monthly Financial Summary Rpt'!$C41</f>
        <v>0</v>
      </c>
      <c r="D41" s="14">
        <f>B41-C41</f>
        <v>485.91</v>
      </c>
      <c r="E41" s="15">
        <v>0</v>
      </c>
      <c r="G41" s="2" t="s">
        <v>42</v>
      </c>
      <c r="I41" s="14">
        <f>+'[1]Monthly Financial Summary Rpt'!$I41</f>
        <v>58533.77</v>
      </c>
      <c r="J41" s="14">
        <v>95022</v>
      </c>
      <c r="K41" s="14">
        <f>I41-J41</f>
        <v>-36488.230000000003</v>
      </c>
      <c r="L41" s="15">
        <f>+I41/J41</f>
        <v>0.61600229420555241</v>
      </c>
      <c r="M41" s="15"/>
      <c r="N41" s="14">
        <f>+'[1]Monthly Financial Summary Rpt'!J41</f>
        <v>95022</v>
      </c>
      <c r="O41" s="14">
        <f>I41-N41</f>
        <v>-36488.230000000003</v>
      </c>
      <c r="P41" s="15">
        <f>+I41/N41</f>
        <v>0.61600229420555241</v>
      </c>
    </row>
    <row r="42" spans="2:16" x14ac:dyDescent="0.2">
      <c r="B42" s="14">
        <f>+'[1]Monthly Financial Summary Rpt'!$B42</f>
        <v>4185.7900000000009</v>
      </c>
      <c r="C42" s="14">
        <f>+'[1]Monthly Financial Summary Rpt'!$C42</f>
        <v>2292</v>
      </c>
      <c r="D42" s="14">
        <f>B42-C42</f>
        <v>1893.7900000000009</v>
      </c>
      <c r="E42" s="15">
        <f>+B42/C42</f>
        <v>1.8262609075043634</v>
      </c>
      <c r="G42" s="2" t="s">
        <v>24</v>
      </c>
      <c r="I42" s="14">
        <f>+'[1]Monthly Financial Summary Rpt'!$I42</f>
        <v>25099.959999999992</v>
      </c>
      <c r="J42" s="14">
        <f>212608-189784</f>
        <v>22824</v>
      </c>
      <c r="K42" s="14">
        <f>I42-J42</f>
        <v>2275.9599999999919</v>
      </c>
      <c r="L42" s="15">
        <f>+I42/J42</f>
        <v>1.0997178408692601</v>
      </c>
      <c r="M42" s="15"/>
      <c r="N42" s="14">
        <f>+'[1]Monthly Financial Summary Rpt'!J42</f>
        <v>29700</v>
      </c>
      <c r="O42" s="14">
        <f>I42-N42</f>
        <v>-4600.0400000000081</v>
      </c>
      <c r="P42" s="15">
        <f>+I42/N42</f>
        <v>0.84511649831649804</v>
      </c>
    </row>
    <row r="43" spans="2:16" s="4" customFormat="1" x14ac:dyDescent="0.2">
      <c r="B43" s="23">
        <f>SUM(B40:B42)</f>
        <v>15152.310000000001</v>
      </c>
      <c r="C43" s="23">
        <f>SUM(C40:C42)</f>
        <v>12404</v>
      </c>
      <c r="D43" s="23">
        <f>+B43-C43</f>
        <v>2748.3100000000013</v>
      </c>
      <c r="E43" s="15">
        <f>+B43/C43</f>
        <v>1.2215664301838118</v>
      </c>
      <c r="G43" s="4" t="s">
        <v>25</v>
      </c>
      <c r="I43" s="23">
        <f>SUM(I40:I42)</f>
        <v>183191.86</v>
      </c>
      <c r="J43" s="23">
        <f>SUM(J40:J42)</f>
        <v>212608</v>
      </c>
      <c r="K43" s="23">
        <f>SUM(K40:K42)</f>
        <v>-29416.140000000007</v>
      </c>
      <c r="L43" s="15">
        <f>+I43/J43</f>
        <v>0.86164142459361825</v>
      </c>
      <c r="M43" s="15"/>
      <c r="N43" s="23">
        <f>SUM(N40:N42)</f>
        <v>253578</v>
      </c>
      <c r="O43" s="23">
        <f>SUM(O40:O42)</f>
        <v>-70386.140000000014</v>
      </c>
      <c r="P43" s="15">
        <f>+I43/N43</f>
        <v>0.72242804975195007</v>
      </c>
    </row>
    <row r="44" spans="2:16" x14ac:dyDescent="0.2">
      <c r="B44" s="3"/>
      <c r="C44" s="3"/>
      <c r="E44" s="15"/>
      <c r="I44" s="3"/>
      <c r="J44" s="3"/>
      <c r="L44" s="18"/>
      <c r="M44" s="18"/>
      <c r="N44" s="3"/>
      <c r="P44" s="18"/>
    </row>
    <row r="45" spans="2:16" s="4" customFormat="1" x14ac:dyDescent="0.2">
      <c r="B45" s="23">
        <f>+'[1]Monthly Financial Summary Rpt'!$B$45</f>
        <v>5825.27</v>
      </c>
      <c r="C45" s="23">
        <f>+'[1]Monthly Financial Summary Rpt'!$C$45</f>
        <v>5789</v>
      </c>
      <c r="D45" s="23">
        <f>+B45-C45</f>
        <v>36.270000000000437</v>
      </c>
      <c r="E45" s="15">
        <f>+B45/C45</f>
        <v>1.0062653307997929</v>
      </c>
      <c r="G45" s="4" t="s">
        <v>61</v>
      </c>
      <c r="I45" s="23">
        <f>+'[1]Monthly Financial Summary Rpt'!$I$45</f>
        <v>52803.1</v>
      </c>
      <c r="J45" s="23">
        <v>54368</v>
      </c>
      <c r="K45" s="23">
        <f>I45-J45</f>
        <v>-1564.9000000000015</v>
      </c>
      <c r="L45" s="15">
        <f>+I45/J45</f>
        <v>0.97121652442613304</v>
      </c>
      <c r="M45" s="15"/>
      <c r="N45" s="23">
        <f>+'[1]Monthly Financial Summary Rpt'!J45</f>
        <v>74000</v>
      </c>
      <c r="O45" s="23">
        <f>I45-N45</f>
        <v>-21196.9</v>
      </c>
      <c r="P45" s="15">
        <f>+I45/N45</f>
        <v>0.71355540540540541</v>
      </c>
    </row>
    <row r="46" spans="2:16" x14ac:dyDescent="0.2">
      <c r="B46" s="3"/>
      <c r="C46" s="3"/>
      <c r="E46" s="15"/>
      <c r="I46" s="3"/>
      <c r="J46" s="3"/>
      <c r="L46" s="18"/>
      <c r="M46" s="18"/>
      <c r="N46" s="3"/>
      <c r="P46" s="18"/>
    </row>
    <row r="47" spans="2:16" s="4" customFormat="1" x14ac:dyDescent="0.2">
      <c r="B47" s="23">
        <f>+'[1]Monthly Financial Summary Rpt'!$B$47</f>
        <v>3087.2</v>
      </c>
      <c r="C47" s="23">
        <f>+'[1]Monthly Financial Summary Rpt'!$C$47</f>
        <v>7618</v>
      </c>
      <c r="D47" s="23">
        <f>+B47-C47</f>
        <v>-4530.8</v>
      </c>
      <c r="E47" s="15">
        <f>+B47/C47</f>
        <v>0.40525072197427142</v>
      </c>
      <c r="G47" s="4" t="s">
        <v>26</v>
      </c>
      <c r="I47" s="23">
        <f>+'[1]Monthly Financial Summary Rpt'!$I$47</f>
        <v>58332.14</v>
      </c>
      <c r="J47" s="23">
        <v>72707</v>
      </c>
      <c r="K47" s="23">
        <f>I47-J47</f>
        <v>-14374.86</v>
      </c>
      <c r="L47" s="15">
        <f>+I47/J47</f>
        <v>0.80229056349457406</v>
      </c>
      <c r="M47" s="15"/>
      <c r="N47" s="23">
        <f>+'[1]Monthly Financial Summary Rpt'!J47</f>
        <v>99256</v>
      </c>
      <c r="O47" s="23">
        <f>I47-N47</f>
        <v>-40923.86</v>
      </c>
      <c r="P47" s="15">
        <f>+I47/N47</f>
        <v>0.58769384218586285</v>
      </c>
    </row>
    <row r="48" spans="2:16" x14ac:dyDescent="0.2">
      <c r="B48" s="3"/>
      <c r="C48" s="3"/>
      <c r="E48" s="15"/>
      <c r="I48" s="3"/>
      <c r="J48" s="3"/>
      <c r="L48" s="18"/>
      <c r="M48" s="18"/>
      <c r="N48" s="3"/>
      <c r="P48" s="18"/>
    </row>
    <row r="49" spans="1:16" x14ac:dyDescent="0.2">
      <c r="B49" s="14">
        <f>+'[1]Monthly Financial Summary Rpt'!$B49</f>
        <v>1713.76</v>
      </c>
      <c r="C49" s="14">
        <f>+'[1]Monthly Financial Summary Rpt'!$C49</f>
        <v>1264</v>
      </c>
      <c r="D49" s="14">
        <f>B49-C49</f>
        <v>449.76</v>
      </c>
      <c r="E49" s="15">
        <f>+B49/C49</f>
        <v>1.3558227848101265</v>
      </c>
      <c r="G49" s="2" t="s">
        <v>43</v>
      </c>
      <c r="I49" s="14">
        <f>+'[1]Monthly Financial Summary Rpt'!$I49</f>
        <v>361132.19</v>
      </c>
      <c r="J49" s="14">
        <v>404056</v>
      </c>
      <c r="K49" s="14">
        <f>I49-J49</f>
        <v>-42923.81</v>
      </c>
      <c r="L49" s="15">
        <f>+I49/J49</f>
        <v>0.89376767081790642</v>
      </c>
      <c r="M49" s="15"/>
      <c r="N49" s="14">
        <f>+'[1]Monthly Financial Summary Rpt'!J49</f>
        <v>410544</v>
      </c>
      <c r="O49" s="14">
        <f>I49-N49</f>
        <v>-49411.81</v>
      </c>
      <c r="P49" s="15">
        <f>+I49/N49</f>
        <v>0.8796430833235902</v>
      </c>
    </row>
    <row r="50" spans="1:16" x14ac:dyDescent="0.2">
      <c r="B50" s="14">
        <f>+'[1]Monthly Financial Summary Rpt'!$B50</f>
        <v>9294.25</v>
      </c>
      <c r="C50" s="14">
        <f>+'[1]Monthly Financial Summary Rpt'!$C50</f>
        <v>1944</v>
      </c>
      <c r="D50" s="14">
        <f>B50-C50</f>
        <v>7350.25</v>
      </c>
      <c r="E50" s="15">
        <f>+B50/C50</f>
        <v>4.7809927983539096</v>
      </c>
      <c r="G50" s="2" t="s">
        <v>27</v>
      </c>
      <c r="I50" s="14">
        <f>+'[1]Monthly Financial Summary Rpt'!$I50</f>
        <v>36939.409999999974</v>
      </c>
      <c r="J50" s="14">
        <f>428177-404056</f>
        <v>24121</v>
      </c>
      <c r="K50" s="14">
        <f>I50-J50</f>
        <v>12818.409999999974</v>
      </c>
      <c r="L50" s="15">
        <f>+I50/J50</f>
        <v>1.5314211682766043</v>
      </c>
      <c r="M50" s="15"/>
      <c r="N50" s="14">
        <f>+'[1]Monthly Financial Summary Rpt'!J50</f>
        <v>30578</v>
      </c>
      <c r="O50" s="14">
        <f>I50-N50</f>
        <v>6361.4099999999744</v>
      </c>
      <c r="P50" s="15">
        <f>+I50/N50</f>
        <v>1.208038786055333</v>
      </c>
    </row>
    <row r="51" spans="1:16" s="4" customFormat="1" x14ac:dyDescent="0.2">
      <c r="B51" s="23">
        <f>B50+B49</f>
        <v>11008.01</v>
      </c>
      <c r="C51" s="23">
        <f>C50+C49</f>
        <v>3208</v>
      </c>
      <c r="D51" s="23">
        <f>+B51-C51</f>
        <v>7800.01</v>
      </c>
      <c r="E51" s="15">
        <f>+B51/C51</f>
        <v>3.4314245635910225</v>
      </c>
      <c r="G51" s="4" t="s">
        <v>28</v>
      </c>
      <c r="I51" s="23">
        <f>I50+I49</f>
        <v>398071.6</v>
      </c>
      <c r="J51" s="23">
        <f>J50+J49</f>
        <v>428177</v>
      </c>
      <c r="K51" s="23">
        <f>K50+K49</f>
        <v>-30105.400000000023</v>
      </c>
      <c r="L51" s="15">
        <f>+I51/J51</f>
        <v>0.92968935743862935</v>
      </c>
      <c r="M51" s="15"/>
      <c r="N51" s="23">
        <f>N50+N49</f>
        <v>441122</v>
      </c>
      <c r="O51" s="23">
        <f>O50+O49</f>
        <v>-43050.400000000023</v>
      </c>
      <c r="P51" s="15">
        <f>+I51/N51</f>
        <v>0.90240704385634807</v>
      </c>
    </row>
    <row r="52" spans="1:16" s="1" customFormat="1" ht="14.25" x14ac:dyDescent="0.2">
      <c r="A52" s="2"/>
      <c r="B52" s="3"/>
      <c r="C52" s="3"/>
      <c r="D52" s="3"/>
      <c r="E52" s="15"/>
      <c r="F52" s="2"/>
      <c r="G52" s="2"/>
      <c r="H52" s="2"/>
      <c r="I52" s="3"/>
      <c r="J52" s="3"/>
      <c r="K52" s="3"/>
      <c r="L52" s="18"/>
    </row>
    <row r="53" spans="1:16" s="1" customFormat="1" ht="14.25" x14ac:dyDescent="0.2">
      <c r="A53" s="2"/>
      <c r="B53" s="3"/>
      <c r="C53" s="3"/>
      <c r="D53" s="3"/>
      <c r="E53" s="15"/>
      <c r="F53" s="2"/>
      <c r="G53" s="2"/>
      <c r="H53" s="2"/>
      <c r="I53" s="3"/>
      <c r="J53" s="3"/>
      <c r="K53" s="3"/>
      <c r="L53" s="18"/>
    </row>
    <row r="54" spans="1:16" x14ac:dyDescent="0.2">
      <c r="B54" s="16">
        <f>+B51+B47+B45+B43+B38+B34+B27+B21</f>
        <v>236100</v>
      </c>
      <c r="C54" s="16">
        <f>+C51+C47+C45+C43+C38+C34+C27+C21</f>
        <v>211592</v>
      </c>
      <c r="D54" s="16">
        <f>B54-C54</f>
        <v>24508</v>
      </c>
      <c r="E54" s="15">
        <f>+B54/C54</f>
        <v>1.1158266853189156</v>
      </c>
      <c r="F54" s="4"/>
      <c r="G54" s="17" t="s">
        <v>8</v>
      </c>
      <c r="H54" s="4"/>
      <c r="I54" s="16">
        <f>+I51+I47+I45+I43+I38+I34+I27+I21</f>
        <v>2799535.9000000004</v>
      </c>
      <c r="J54" s="16">
        <f>+J51+J47+J45+J43+J38+J34+J27+J21</f>
        <v>2801874</v>
      </c>
      <c r="K54" s="16">
        <f>I54-J54</f>
        <v>-2338.0999999996275</v>
      </c>
      <c r="L54" s="15">
        <f>+I54/J54</f>
        <v>0.99916552278939041</v>
      </c>
      <c r="M54" s="33"/>
      <c r="N54" s="16">
        <f>+N51+N47+N45+N43+N38+N34+N27+N21</f>
        <v>3607934</v>
      </c>
      <c r="O54" s="16">
        <f>I54-N54</f>
        <v>-808398.09999999963</v>
      </c>
      <c r="P54" s="15">
        <f>+I54/N54</f>
        <v>0.77593877825924762</v>
      </c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B56" s="16">
        <f>+B15-B54</f>
        <v>298857.34000000008</v>
      </c>
      <c r="C56" s="16">
        <f>C15-C54</f>
        <v>-61447</v>
      </c>
      <c r="D56" s="16">
        <f>+B56-C56</f>
        <v>360304.34000000008</v>
      </c>
      <c r="E56" s="15">
        <f>+B56/-C56</f>
        <v>4.863660390255018</v>
      </c>
      <c r="F56" s="4"/>
      <c r="G56" s="17" t="s">
        <v>62</v>
      </c>
      <c r="H56" s="4"/>
      <c r="I56" s="16">
        <f>I15-I54</f>
        <v>2341653.1399999997</v>
      </c>
      <c r="J56" s="16">
        <f>J15-J54</f>
        <v>397549</v>
      </c>
      <c r="K56" s="16">
        <f>I56-J56</f>
        <v>1944104.1399999997</v>
      </c>
      <c r="L56" s="15">
        <f>+I56/J56</f>
        <v>5.8902252049432891</v>
      </c>
      <c r="M56" s="34"/>
      <c r="N56" s="16">
        <f>N15-N54</f>
        <v>241266</v>
      </c>
      <c r="O56" s="16">
        <f>+I56-N56</f>
        <v>2100387.1399999997</v>
      </c>
      <c r="P56" s="15">
        <f>+I56/N56</f>
        <v>9.7056905655997934</v>
      </c>
    </row>
    <row r="57" spans="1:16" x14ac:dyDescent="0.2">
      <c r="E57" s="15"/>
      <c r="M57" s="31"/>
    </row>
    <row r="58" spans="1:16" s="24" customFormat="1" ht="14.25" hidden="1" x14ac:dyDescent="0.2">
      <c r="A58" s="1"/>
      <c r="D58" s="25" t="s">
        <v>44</v>
      </c>
      <c r="E58" s="15" t="e">
        <f t="shared" ref="E58:E73" si="10">+B58/C58</f>
        <v>#DIV/0!</v>
      </c>
      <c r="F58" s="48" t="s">
        <v>53</v>
      </c>
      <c r="G58" s="48"/>
      <c r="H58" s="48"/>
      <c r="I58" s="48"/>
      <c r="J58" s="48"/>
      <c r="K58" s="48"/>
      <c r="L58" s="48"/>
      <c r="M58" s="48"/>
      <c r="N58" s="48"/>
    </row>
    <row r="59" spans="1:16" s="24" customFormat="1" hidden="1" x14ac:dyDescent="0.2">
      <c r="C59" s="25"/>
      <c r="E59" s="15" t="e">
        <f t="shared" si="10"/>
        <v>#DIV/0!</v>
      </c>
      <c r="G59" s="26" t="s">
        <v>54</v>
      </c>
      <c r="I59" s="27">
        <f>-I7*0.03</f>
        <v>-41611.388399999996</v>
      </c>
      <c r="J59" s="27">
        <f>-J7*0.03</f>
        <v>-17568</v>
      </c>
      <c r="K59" s="44"/>
      <c r="L59" s="44" t="s">
        <v>54</v>
      </c>
      <c r="N59" s="27">
        <f>-N7*0.03</f>
        <v>-23100</v>
      </c>
    </row>
    <row r="60" spans="1:16" s="24" customFormat="1" hidden="1" x14ac:dyDescent="0.2">
      <c r="B60" s="25"/>
      <c r="C60" s="25"/>
      <c r="D60" s="25"/>
      <c r="E60" s="15" t="e">
        <f t="shared" si="10"/>
        <v>#DIV/0!</v>
      </c>
      <c r="G60" s="26" t="s">
        <v>59</v>
      </c>
      <c r="I60" s="27">
        <f>-0.2*I10</f>
        <v>-128374.85600000001</v>
      </c>
      <c r="J60" s="27">
        <f>-0.2*J10</f>
        <v>-44880</v>
      </c>
      <c r="K60" s="44"/>
      <c r="L60" s="44" t="s">
        <v>59</v>
      </c>
      <c r="N60" s="27">
        <f>-0.05*N7</f>
        <v>-38500</v>
      </c>
    </row>
    <row r="61" spans="1:16" s="24" customFormat="1" hidden="1" x14ac:dyDescent="0.2">
      <c r="B61" s="25"/>
      <c r="C61" s="25"/>
      <c r="D61" s="25"/>
      <c r="E61" s="15" t="e">
        <f t="shared" si="10"/>
        <v>#DIV/0!</v>
      </c>
      <c r="G61" s="26" t="s">
        <v>60</v>
      </c>
      <c r="I61" s="27">
        <f>995729*-0.05</f>
        <v>-49786.450000000004</v>
      </c>
      <c r="J61" s="27">
        <f>-0.05*(755000)</f>
        <v>-37750</v>
      </c>
      <c r="K61" s="44"/>
      <c r="L61" s="44" t="s">
        <v>60</v>
      </c>
      <c r="N61" s="27">
        <f>+J61</f>
        <v>-37750</v>
      </c>
    </row>
    <row r="62" spans="1:16" s="24" customFormat="1" hidden="1" x14ac:dyDescent="0.2">
      <c r="B62" s="25"/>
      <c r="C62" s="25"/>
      <c r="D62" s="25"/>
      <c r="E62" s="15" t="e">
        <f t="shared" si="10"/>
        <v>#DIV/0!</v>
      </c>
      <c r="F62" s="37" t="s">
        <v>55</v>
      </c>
      <c r="G62" s="38"/>
      <c r="H62" s="37"/>
      <c r="I62" s="39">
        <f>-SUM(I59:I61)</f>
        <v>219772.69440000004</v>
      </c>
      <c r="J62" s="39">
        <f>-SUM(J59:J61)</f>
        <v>100198</v>
      </c>
      <c r="K62" s="45"/>
      <c r="L62" s="45"/>
      <c r="M62" s="37"/>
      <c r="N62" s="39">
        <f>-SUM(N59:N61)</f>
        <v>99350</v>
      </c>
    </row>
    <row r="63" spans="1:16" s="24" customFormat="1" hidden="1" x14ac:dyDescent="0.2">
      <c r="B63" s="25"/>
      <c r="C63" s="25"/>
      <c r="D63" s="25"/>
      <c r="E63" s="15" t="e">
        <f t="shared" si="10"/>
        <v>#DIV/0!</v>
      </c>
      <c r="G63" s="26"/>
      <c r="I63" s="27"/>
      <c r="J63" s="27"/>
      <c r="K63" s="44"/>
      <c r="L63" s="44"/>
    </row>
    <row r="64" spans="1:16" s="1" customFormat="1" ht="14.25" hidden="1" x14ac:dyDescent="0.2">
      <c r="A64" s="24"/>
      <c r="B64" s="24"/>
      <c r="C64" s="24"/>
      <c r="D64" s="25"/>
      <c r="E64" s="15" t="e">
        <f t="shared" si="10"/>
        <v>#DIV/0!</v>
      </c>
      <c r="F64" s="48" t="s">
        <v>56</v>
      </c>
      <c r="G64" s="48"/>
      <c r="H64" s="48"/>
      <c r="I64" s="48"/>
      <c r="J64" s="48"/>
      <c r="K64" s="48"/>
      <c r="L64" s="48"/>
      <c r="M64" s="48"/>
      <c r="N64" s="48"/>
    </row>
    <row r="65" spans="1:16" s="1" customFormat="1" ht="14.25" hidden="1" x14ac:dyDescent="0.2">
      <c r="A65" s="24"/>
      <c r="B65" s="24"/>
      <c r="C65" s="24"/>
      <c r="D65" s="36"/>
      <c r="E65" s="15" t="e">
        <f t="shared" si="10"/>
        <v>#DIV/0!</v>
      </c>
      <c r="F65" s="24"/>
      <c r="G65" s="28" t="s">
        <v>50</v>
      </c>
      <c r="H65" s="24"/>
      <c r="I65" s="27">
        <f>-I9*0.5</f>
        <v>-95652.52</v>
      </c>
      <c r="J65" s="27">
        <f>-J9*0.5</f>
        <v>-44999.5</v>
      </c>
      <c r="K65" s="44"/>
      <c r="L65" s="46" t="s">
        <v>50</v>
      </c>
      <c r="N65" s="27">
        <f>-N9*0.5</f>
        <v>-50000</v>
      </c>
    </row>
    <row r="66" spans="1:16" s="24" customFormat="1" hidden="1" x14ac:dyDescent="0.2">
      <c r="E66" s="15" t="e">
        <f t="shared" si="10"/>
        <v>#DIV/0!</v>
      </c>
      <c r="F66" s="37" t="s">
        <v>57</v>
      </c>
      <c r="G66" s="37"/>
      <c r="H66" s="37"/>
      <c r="I66" s="40">
        <f>-I65</f>
        <v>95652.52</v>
      </c>
      <c r="J66" s="40">
        <f>-J65</f>
        <v>44999.5</v>
      </c>
      <c r="K66" s="45"/>
      <c r="L66" s="45"/>
      <c r="M66" s="37"/>
      <c r="N66" s="40">
        <f>-N65</f>
        <v>50000</v>
      </c>
    </row>
    <row r="67" spans="1:16" s="24" customFormat="1" hidden="1" x14ac:dyDescent="0.2">
      <c r="D67" s="25"/>
      <c r="E67" s="15" t="e">
        <f t="shared" si="10"/>
        <v>#DIV/0!</v>
      </c>
      <c r="G67" s="26"/>
      <c r="L67" s="35"/>
    </row>
    <row r="68" spans="1:16" s="24" customFormat="1" ht="14.25" hidden="1" x14ac:dyDescent="0.2">
      <c r="D68" s="25"/>
      <c r="E68" s="15" t="e">
        <f t="shared" si="10"/>
        <v>#DIV/0!</v>
      </c>
      <c r="G68" s="1"/>
      <c r="K68" s="27"/>
      <c r="N68" s="1"/>
    </row>
    <row r="69" spans="1:16" s="24" customFormat="1" hidden="1" x14ac:dyDescent="0.2">
      <c r="D69" s="25"/>
      <c r="E69" s="15" t="e">
        <f t="shared" si="10"/>
        <v>#DIV/0!</v>
      </c>
      <c r="G69" s="17" t="s">
        <v>48</v>
      </c>
      <c r="I69" s="16">
        <f>+I56-I62-I66</f>
        <v>2026227.9255999997</v>
      </c>
      <c r="J69" s="16">
        <f>+J56-J62-J66</f>
        <v>252351.5</v>
      </c>
      <c r="K69" s="27"/>
      <c r="N69" s="16">
        <f>+N56-N62-N66</f>
        <v>91916</v>
      </c>
    </row>
    <row r="70" spans="1:16" s="24" customFormat="1" ht="14.25" hidden="1" x14ac:dyDescent="0.2">
      <c r="A70" s="1"/>
      <c r="B70" s="1"/>
      <c r="C70" s="1"/>
      <c r="D70" s="29"/>
      <c r="E70" s="15" t="e">
        <f t="shared" si="10"/>
        <v>#DIV/0!</v>
      </c>
      <c r="F70" s="1"/>
      <c r="G70" s="1"/>
      <c r="H70" s="1"/>
      <c r="I70" s="1"/>
      <c r="J70" s="1"/>
      <c r="K70" s="27"/>
    </row>
    <row r="71" spans="1:16" ht="14.25" x14ac:dyDescent="0.2">
      <c r="A71" s="1"/>
      <c r="B71" s="14">
        <v>59074.62</v>
      </c>
      <c r="C71" s="14">
        <f>+C7*0.03+C10*0.2+C12*0.05</f>
        <v>6894</v>
      </c>
      <c r="D71" s="14">
        <f>+B71-C71</f>
        <v>52180.62</v>
      </c>
      <c r="E71" s="15">
        <f t="shared" si="10"/>
        <v>8.5689904264577894</v>
      </c>
      <c r="F71" s="1"/>
      <c r="G71" s="2" t="s">
        <v>63</v>
      </c>
      <c r="H71" s="1"/>
      <c r="I71" s="14">
        <v>240455.06</v>
      </c>
      <c r="J71" s="14">
        <f>+J7*0.03+J10*0.2+J12*0.05</f>
        <v>122198</v>
      </c>
      <c r="K71" s="14">
        <f>+I71-J71</f>
        <v>118257.06</v>
      </c>
      <c r="L71" s="15">
        <f t="shared" ref="L71:L73" si="11">+I71/J71</f>
        <v>1.9677495540025205</v>
      </c>
      <c r="N71" s="14">
        <f>60000+22050+36750</f>
        <v>118800</v>
      </c>
      <c r="O71" s="14">
        <f>+I71-N71</f>
        <v>121655.06</v>
      </c>
      <c r="P71" s="15">
        <f>+I71/N71</f>
        <v>2.0240324915824917</v>
      </c>
    </row>
    <row r="72" spans="1:16" ht="14.25" x14ac:dyDescent="0.2">
      <c r="A72" s="1"/>
      <c r="B72" s="14">
        <v>3454.07</v>
      </c>
      <c r="C72" s="14">
        <f>+C9*0.5</f>
        <v>1666.5</v>
      </c>
      <c r="D72" s="14">
        <f>+B72-C72</f>
        <v>1787.5700000000002</v>
      </c>
      <c r="E72" s="15">
        <f t="shared" si="10"/>
        <v>2.0726492649264929</v>
      </c>
      <c r="F72" s="1"/>
      <c r="G72" s="2" t="s">
        <v>56</v>
      </c>
      <c r="H72" s="1"/>
      <c r="I72" s="14">
        <v>95652.53</v>
      </c>
      <c r="J72" s="14">
        <f>+J9*0.5</f>
        <v>44999.5</v>
      </c>
      <c r="K72" s="14">
        <f>+I72-J72</f>
        <v>50653.03</v>
      </c>
      <c r="L72" s="15">
        <f t="shared" si="11"/>
        <v>2.1256353959488439</v>
      </c>
      <c r="N72" s="14">
        <f>+N9*0.5</f>
        <v>50000</v>
      </c>
      <c r="O72" s="14">
        <f>+I72-N72</f>
        <v>45652.53</v>
      </c>
      <c r="P72" s="15">
        <f>+I72/N72</f>
        <v>1.9130506</v>
      </c>
    </row>
    <row r="73" spans="1:16" ht="14.25" x14ac:dyDescent="0.2">
      <c r="A73" s="1"/>
      <c r="B73" s="23">
        <f>+B71+B72</f>
        <v>62528.69</v>
      </c>
      <c r="C73" s="23">
        <f>+C71+C72</f>
        <v>8560.5</v>
      </c>
      <c r="D73" s="23">
        <f>+D71+D72</f>
        <v>53968.19</v>
      </c>
      <c r="E73" s="15">
        <f t="shared" si="10"/>
        <v>7.3043268500671692</v>
      </c>
      <c r="F73" s="1"/>
      <c r="H73" s="1"/>
      <c r="I73" s="23">
        <f>+I71+I72</f>
        <v>336107.58999999997</v>
      </c>
      <c r="J73" s="23">
        <f>+J71+J72</f>
        <v>167197.5</v>
      </c>
      <c r="K73" s="23">
        <f>+K71+K72</f>
        <v>168910.09</v>
      </c>
      <c r="L73" s="15">
        <f t="shared" si="11"/>
        <v>2.0102429163115474</v>
      </c>
      <c r="N73" s="23">
        <f>+N71+N72</f>
        <v>168800</v>
      </c>
      <c r="O73" s="23">
        <f>+O71+O72</f>
        <v>167307.59</v>
      </c>
      <c r="P73" s="15">
        <f>+I73/N73</f>
        <v>1.9911587085308056</v>
      </c>
    </row>
    <row r="74" spans="1:16" ht="14.25" x14ac:dyDescent="0.2">
      <c r="A74" s="1"/>
      <c r="B74" s="3"/>
      <c r="C74" s="3"/>
      <c r="E74" s="1"/>
      <c r="F74" s="1"/>
      <c r="H74" s="1"/>
      <c r="I74" s="41"/>
      <c r="J74" s="1"/>
    </row>
    <row r="75" spans="1:16" ht="14.25" x14ac:dyDescent="0.2">
      <c r="A75" s="1"/>
      <c r="B75" s="16">
        <f>+B56-B73</f>
        <v>236328.65000000008</v>
      </c>
      <c r="C75" s="16">
        <f>+C56-C73</f>
        <v>-70007.5</v>
      </c>
      <c r="D75" s="16">
        <f>B75-C75</f>
        <v>306336.15000000008</v>
      </c>
      <c r="E75" s="15">
        <f>+B75/-C75</f>
        <v>3.3757618826554308</v>
      </c>
      <c r="F75" s="4"/>
      <c r="G75" s="17" t="s">
        <v>64</v>
      </c>
      <c r="H75" s="4"/>
      <c r="I75" s="16">
        <f>+I56-I73</f>
        <v>2005545.5499999998</v>
      </c>
      <c r="J75" s="16">
        <f>+J56-J73</f>
        <v>230351.5</v>
      </c>
      <c r="K75" s="16">
        <f>I75-J75</f>
        <v>1775194.0499999998</v>
      </c>
      <c r="L75" s="15">
        <f>+I75/J75</f>
        <v>8.7064575225253567</v>
      </c>
      <c r="M75" s="33"/>
      <c r="N75" s="16">
        <f>+N56-N73</f>
        <v>72466</v>
      </c>
      <c r="O75" s="16">
        <f>+O56-O73</f>
        <v>1933079.5499999996</v>
      </c>
      <c r="P75" s="15">
        <f>+I75/N75</f>
        <v>27.675676179173678</v>
      </c>
    </row>
    <row r="76" spans="1:16" ht="14.25" x14ac:dyDescent="0.2">
      <c r="A76" s="1"/>
      <c r="B76" s="1"/>
      <c r="C76" s="1"/>
      <c r="D76" s="29"/>
      <c r="E76" s="1"/>
      <c r="F76" s="1"/>
      <c r="H76" s="1"/>
      <c r="I76" s="41"/>
      <c r="J76" s="1"/>
    </row>
    <row r="77" spans="1:16" ht="14.25" x14ac:dyDescent="0.2">
      <c r="A77" s="1"/>
      <c r="B77" s="1"/>
      <c r="C77" s="1"/>
      <c r="D77" s="29"/>
      <c r="E77" s="1"/>
      <c r="F77" s="1"/>
      <c r="H77" s="1"/>
      <c r="I77" s="41"/>
      <c r="J77" s="1"/>
    </row>
    <row r="78" spans="1:16" x14ac:dyDescent="0.2">
      <c r="B78" s="47" t="s">
        <v>31</v>
      </c>
      <c r="C78" s="47"/>
      <c r="D78" s="47"/>
      <c r="E78" s="42">
        <v>1</v>
      </c>
      <c r="I78" s="43"/>
    </row>
    <row r="79" spans="1:16" x14ac:dyDescent="0.2">
      <c r="B79" s="47" t="s">
        <v>32</v>
      </c>
      <c r="C79" s="47"/>
      <c r="D79" s="47"/>
      <c r="E79" s="42">
        <v>1</v>
      </c>
    </row>
    <row r="81" spans="2:7" ht="14.25" x14ac:dyDescent="0.2">
      <c r="B81" s="2" t="s">
        <v>58</v>
      </c>
      <c r="G81" s="1"/>
    </row>
  </sheetData>
  <mergeCells count="8">
    <mergeCell ref="B79:D79"/>
    <mergeCell ref="F58:N58"/>
    <mergeCell ref="F64:N64"/>
    <mergeCell ref="I2:P2"/>
    <mergeCell ref="B2:G2"/>
    <mergeCell ref="B4:E4"/>
    <mergeCell ref="I4:P4"/>
    <mergeCell ref="B78:D78"/>
  </mergeCells>
  <conditionalFormatting sqref="M7:M15">
    <cfRule type="cellIs" dxfId="23" priority="73" operator="greaterThan">
      <formula>0.75</formula>
    </cfRule>
  </conditionalFormatting>
  <conditionalFormatting sqref="M19:M51 M54">
    <cfRule type="cellIs" dxfId="22" priority="72" operator="greaterThan">
      <formula>0.75</formula>
    </cfRule>
  </conditionalFormatting>
  <conditionalFormatting sqref="N56">
    <cfRule type="cellIs" dxfId="21" priority="53" operator="lessThan">
      <formula>0</formula>
    </cfRule>
  </conditionalFormatting>
  <conditionalFormatting sqref="J56">
    <cfRule type="cellIs" dxfId="20" priority="45" operator="lessThan">
      <formula>0</formula>
    </cfRule>
  </conditionalFormatting>
  <conditionalFormatting sqref="E19:E51 E54 P54:P55 A55:O55">
    <cfRule type="cellIs" dxfId="19" priority="35" operator="greaterThan">
      <formula>1</formula>
    </cfRule>
  </conditionalFormatting>
  <conditionalFormatting sqref="E7:E15 P7:P15">
    <cfRule type="cellIs" dxfId="18" priority="34" operator="greaterThan">
      <formula>1</formula>
    </cfRule>
  </conditionalFormatting>
  <conditionalFormatting sqref="B56:C56 I56">
    <cfRule type="cellIs" dxfId="17" priority="33" operator="lessThan">
      <formula>0</formula>
    </cfRule>
  </conditionalFormatting>
  <conditionalFormatting sqref="P19:P51">
    <cfRule type="cellIs" dxfId="16" priority="31" operator="greaterThan">
      <formula>1</formula>
    </cfRule>
  </conditionalFormatting>
  <conditionalFormatting sqref="E52:E53 L53">
    <cfRule type="cellIs" dxfId="15" priority="26" operator="greaterThan">
      <formula>1</formula>
    </cfRule>
  </conditionalFormatting>
  <conditionalFormatting sqref="L52">
    <cfRule type="cellIs" dxfId="14" priority="25" operator="greaterThan">
      <formula>1</formula>
    </cfRule>
  </conditionalFormatting>
  <conditionalFormatting sqref="I69">
    <cfRule type="cellIs" dxfId="13" priority="22" operator="lessThan">
      <formula>0</formula>
    </cfRule>
  </conditionalFormatting>
  <conditionalFormatting sqref="L54 L19:L51">
    <cfRule type="cellIs" dxfId="12" priority="74" operator="greaterThan">
      <formula>#REF!</formula>
    </cfRule>
  </conditionalFormatting>
  <conditionalFormatting sqref="L7:L15">
    <cfRule type="cellIs" dxfId="11" priority="76" operator="greaterThan">
      <formula>#REF!</formula>
    </cfRule>
  </conditionalFormatting>
  <conditionalFormatting sqref="J69">
    <cfRule type="cellIs" dxfId="10" priority="18" operator="lessThan">
      <formula>0</formula>
    </cfRule>
  </conditionalFormatting>
  <conditionalFormatting sqref="N69">
    <cfRule type="cellIs" dxfId="9" priority="17" operator="lessThan">
      <formula>0</formula>
    </cfRule>
  </conditionalFormatting>
  <conditionalFormatting sqref="M75">
    <cfRule type="cellIs" dxfId="8" priority="15" operator="greaterThan">
      <formula>0.75</formula>
    </cfRule>
  </conditionalFormatting>
  <conditionalFormatting sqref="E75">
    <cfRule type="cellIs" dxfId="7" priority="13" operator="greaterThan">
      <formula>1</formula>
    </cfRule>
  </conditionalFormatting>
  <conditionalFormatting sqref="E56:E73">
    <cfRule type="cellIs" dxfId="6" priority="9" operator="greaterThan">
      <formula>1</formula>
    </cfRule>
  </conditionalFormatting>
  <conditionalFormatting sqref="L71:L73">
    <cfRule type="cellIs" dxfId="5" priority="8" operator="greaterThan">
      <formula>1</formula>
    </cfRule>
  </conditionalFormatting>
  <conditionalFormatting sqref="P71:P73">
    <cfRule type="cellIs" dxfId="4" priority="7" operator="greaterThan">
      <formula>1</formula>
    </cfRule>
  </conditionalFormatting>
  <conditionalFormatting sqref="P75">
    <cfRule type="cellIs" dxfId="3" priority="4" operator="greaterThan">
      <formula>1</formula>
    </cfRule>
  </conditionalFormatting>
  <conditionalFormatting sqref="L75">
    <cfRule type="cellIs" dxfId="2" priority="3" operator="greaterThan">
      <formula>1</formula>
    </cfRule>
  </conditionalFormatting>
  <conditionalFormatting sqref="L56">
    <cfRule type="cellIs" dxfId="1" priority="2" operator="greaterThan">
      <formula>1</formula>
    </cfRule>
  </conditionalFormatting>
  <conditionalFormatting sqref="P56">
    <cfRule type="cellIs" dxfId="0" priority="1" operator="greaterThan">
      <formula>1</formula>
    </cfRule>
  </conditionalFormatting>
  <printOptions horizontalCentered="1"/>
  <pageMargins left="0" right="0" top="0" bottom="0" header="0.05" footer="0.05"/>
  <pageSetup scale="72" orientation="landscape" r:id="rId1"/>
  <headerFooter>
    <oddHeader>&amp;L&amp;8&amp;D
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Financial Summary Rpt</vt:lpstr>
      <vt:lpstr>'Monthly Financial Summary Rpt'!Print_Area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Ashleigh Hudson</cp:lastModifiedBy>
  <cp:lastPrinted>2021-11-10T12:18:09Z</cp:lastPrinted>
  <dcterms:created xsi:type="dcterms:W3CDTF">2012-11-05T20:18:57Z</dcterms:created>
  <dcterms:modified xsi:type="dcterms:W3CDTF">2022-01-20T00:44:25Z</dcterms:modified>
</cp:coreProperties>
</file>